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defaultThemeVersion="124226"/>
  <xr:revisionPtr revIDLastSave="0" documentId="13_ncr:1_{8BE568F5-6DFB-4AD2-9F87-921B47142A8A}" xr6:coauthVersionLast="46" xr6:coauthVersionMax="46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9" sheetId="31" r:id="rId3"/>
    <sheet name="Лист1" sheetId="41" r:id="rId4"/>
    <sheet name="натур показатели патриотика" sheetId="39" r:id="rId5"/>
    <sheet name="патриотика0,369" sheetId="14" r:id="rId6"/>
    <sheet name="натур показатели таланты+инициа" sheetId="40" r:id="rId7"/>
    <sheet name="таланты+инициативы0,26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'инновации+добровольчество0,369'!$A$258:$I$451</definedName>
    <definedName name="_xlnm._FilterDatabase" localSheetId="7" hidden="1">'таланты+инициативы0,262'!$A$229:$I$393</definedName>
    <definedName name="_xlnm.Print_Area" localSheetId="0">затраты!$A$1:$K$24</definedName>
    <definedName name="_xlnm.Print_Area" localSheetId="2">'инновации+добровольчество0,369'!$A$1:$I$513</definedName>
    <definedName name="_xlnm.Print_Area" localSheetId="5">'патриотика0,369'!$A$1:$I$537</definedName>
    <definedName name="_xlnm.Print_Area" localSheetId="7">'таланты+инициативы0,262'!$A$1:$I$478</definedName>
  </definedNames>
  <calcPr calcId="181029"/>
  <fileRecoveryPr autoRecover="0"/>
</workbook>
</file>

<file path=xl/calcChain.xml><?xml version="1.0" encoding="utf-8"?>
<calcChain xmlns="http://schemas.openxmlformats.org/spreadsheetml/2006/main">
  <c r="E16" i="38" l="1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E33" i="38"/>
  <c r="E34" i="38"/>
  <c r="E35" i="38"/>
  <c r="E36" i="38"/>
  <c r="E37" i="38"/>
  <c r="E38" i="38"/>
  <c r="E39" i="38"/>
  <c r="E40" i="38"/>
  <c r="E41" i="38"/>
  <c r="E42" i="38"/>
  <c r="E43" i="38"/>
  <c r="E44" i="38"/>
  <c r="E45" i="38"/>
  <c r="E46" i="38"/>
  <c r="E47" i="38"/>
  <c r="E48" i="38"/>
  <c r="E49" i="38"/>
  <c r="E50" i="38"/>
  <c r="E51" i="38"/>
  <c r="E52" i="38"/>
  <c r="E53" i="38"/>
  <c r="E54" i="38"/>
  <c r="E55" i="38"/>
  <c r="E56" i="38"/>
  <c r="E57" i="38"/>
  <c r="E58" i="38"/>
  <c r="E59" i="38"/>
  <c r="E60" i="38"/>
  <c r="E61" i="38"/>
  <c r="E62" i="38"/>
  <c r="E63" i="38"/>
  <c r="E64" i="38"/>
  <c r="E65" i="38"/>
  <c r="E66" i="38"/>
  <c r="E67" i="38"/>
  <c r="E68" i="38"/>
  <c r="E69" i="38"/>
  <c r="E70" i="38"/>
  <c r="E71" i="38"/>
  <c r="E72" i="38"/>
  <c r="E73" i="38"/>
  <c r="E74" i="38"/>
  <c r="E7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D33" i="38"/>
  <c r="D34" i="38"/>
  <c r="D35" i="38"/>
  <c r="D36" i="38"/>
  <c r="D37" i="38"/>
  <c r="D38" i="38"/>
  <c r="D39" i="38"/>
  <c r="D40" i="38"/>
  <c r="D41" i="38"/>
  <c r="D42" i="38"/>
  <c r="D43" i="38"/>
  <c r="D44" i="38"/>
  <c r="D45" i="38"/>
  <c r="D46" i="38"/>
  <c r="D47" i="38"/>
  <c r="D48" i="38"/>
  <c r="D49" i="38"/>
  <c r="D50" i="38"/>
  <c r="D51" i="38"/>
  <c r="D52" i="38"/>
  <c r="D53" i="38"/>
  <c r="D54" i="38"/>
  <c r="D55" i="38"/>
  <c r="D56" i="38"/>
  <c r="D57" i="38"/>
  <c r="D58" i="38"/>
  <c r="D59" i="38"/>
  <c r="D60" i="38"/>
  <c r="D61" i="38"/>
  <c r="D62" i="38"/>
  <c r="D63" i="38"/>
  <c r="D64" i="38"/>
  <c r="D65" i="38"/>
  <c r="D66" i="38"/>
  <c r="D67" i="38"/>
  <c r="D68" i="38"/>
  <c r="D69" i="38"/>
  <c r="D70" i="38"/>
  <c r="D71" i="38"/>
  <c r="D72" i="38"/>
  <c r="D73" i="38"/>
  <c r="D74" i="38"/>
  <c r="D75" i="38"/>
  <c r="C61" i="38"/>
  <c r="C62" i="38"/>
  <c r="C63" i="38"/>
  <c r="C64" i="38"/>
  <c r="C65" i="38"/>
  <c r="C66" i="38"/>
  <c r="C67" i="38"/>
  <c r="C68" i="38"/>
  <c r="C69" i="38"/>
  <c r="C70" i="38"/>
  <c r="C71" i="38"/>
  <c r="C72" i="38"/>
  <c r="C73" i="38"/>
  <c r="C74" i="38"/>
  <c r="C75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C29" i="38"/>
  <c r="C30" i="38"/>
  <c r="C31" i="38"/>
  <c r="C32" i="38"/>
  <c r="C33" i="38"/>
  <c r="C34" i="38"/>
  <c r="C35" i="38"/>
  <c r="C36" i="38"/>
  <c r="C37" i="38"/>
  <c r="C38" i="38"/>
  <c r="C39" i="38"/>
  <c r="C40" i="38"/>
  <c r="C41" i="38"/>
  <c r="C42" i="38"/>
  <c r="C43" i="38"/>
  <c r="C44" i="38"/>
  <c r="C45" i="38"/>
  <c r="C46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G138" i="31"/>
  <c r="G64" i="31"/>
  <c r="G65" i="31"/>
  <c r="G66" i="31"/>
  <c r="G67" i="31"/>
  <c r="G68" i="31"/>
  <c r="G69" i="31"/>
  <c r="G70" i="31"/>
  <c r="G71" i="31"/>
  <c r="G72" i="31"/>
  <c r="G73" i="31"/>
  <c r="G74" i="31"/>
  <c r="G75" i="31"/>
  <c r="G76" i="31"/>
  <c r="G77" i="31"/>
  <c r="G78" i="31"/>
  <c r="G79" i="31"/>
  <c r="G80" i="31"/>
  <c r="G81" i="31"/>
  <c r="G82" i="31"/>
  <c r="G83" i="31"/>
  <c r="G84" i="31"/>
  <c r="G85" i="31"/>
  <c r="G86" i="31"/>
  <c r="G87" i="31"/>
  <c r="G88" i="31"/>
  <c r="G89" i="31"/>
  <c r="G90" i="31"/>
  <c r="G91" i="31"/>
  <c r="G92" i="31"/>
  <c r="G93" i="31"/>
  <c r="G94" i="31"/>
  <c r="G95" i="31"/>
  <c r="G96" i="31"/>
  <c r="G97" i="31"/>
  <c r="G98" i="31"/>
  <c r="G99" i="31"/>
  <c r="G100" i="31"/>
  <c r="G101" i="31"/>
  <c r="G102" i="31"/>
  <c r="G103" i="31"/>
  <c r="G104" i="31"/>
  <c r="G105" i="31"/>
  <c r="G106" i="31"/>
  <c r="G107" i="31"/>
  <c r="G108" i="31"/>
  <c r="G109" i="31"/>
  <c r="G110" i="31"/>
  <c r="G111" i="31"/>
  <c r="G112" i="31"/>
  <c r="G113" i="31"/>
  <c r="G114" i="31"/>
  <c r="G115" i="31"/>
  <c r="G116" i="31"/>
  <c r="G117" i="31"/>
  <c r="G118" i="31"/>
  <c r="G119" i="31"/>
  <c r="G120" i="31"/>
  <c r="G121" i="31"/>
  <c r="G122" i="31"/>
  <c r="G123" i="31"/>
  <c r="G124" i="31"/>
  <c r="G125" i="31"/>
  <c r="G126" i="31"/>
  <c r="G127" i="31"/>
  <c r="G128" i="31"/>
  <c r="G129" i="31"/>
  <c r="G130" i="31"/>
  <c r="G63" i="31"/>
  <c r="G123" i="15"/>
  <c r="G124" i="15"/>
  <c r="G60" i="15"/>
  <c r="G61" i="15"/>
  <c r="G62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2" i="15"/>
  <c r="G59" i="15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E46" i="39"/>
  <c r="E47" i="39"/>
  <c r="E48" i="39"/>
  <c r="E49" i="39"/>
  <c r="E50" i="39"/>
  <c r="E51" i="39"/>
  <c r="E52" i="39"/>
  <c r="E53" i="39"/>
  <c r="E54" i="39"/>
  <c r="E55" i="39"/>
  <c r="E56" i="39"/>
  <c r="E57" i="39"/>
  <c r="E58" i="39"/>
  <c r="E59" i="39"/>
  <c r="E60" i="39"/>
  <c r="E61" i="39"/>
  <c r="E62" i="39"/>
  <c r="E63" i="39"/>
  <c r="E64" i="39"/>
  <c r="E65" i="39"/>
  <c r="E66" i="39"/>
  <c r="E67" i="39"/>
  <c r="E68" i="39"/>
  <c r="E69" i="39"/>
  <c r="E70" i="39"/>
  <c r="E71" i="39"/>
  <c r="E72" i="39"/>
  <c r="E73" i="39"/>
  <c r="E74" i="39"/>
  <c r="E75" i="39"/>
  <c r="E76" i="39"/>
  <c r="E77" i="39"/>
  <c r="E78" i="39"/>
  <c r="E79" i="39"/>
  <c r="E80" i="39"/>
  <c r="E81" i="39"/>
  <c r="E82" i="39"/>
  <c r="E83" i="39"/>
  <c r="E84" i="39"/>
  <c r="E85" i="39"/>
  <c r="E86" i="39"/>
  <c r="E87" i="39"/>
  <c r="E88" i="39"/>
  <c r="E89" i="39"/>
  <c r="E90" i="39"/>
  <c r="E91" i="39"/>
  <c r="E92" i="39"/>
  <c r="E93" i="39"/>
  <c r="E94" i="39"/>
  <c r="E95" i="39"/>
  <c r="E96" i="39"/>
  <c r="E97" i="39"/>
  <c r="E98" i="39"/>
  <c r="E99" i="39"/>
  <c r="E100" i="39"/>
  <c r="E101" i="39"/>
  <c r="E102" i="39"/>
  <c r="E103" i="39"/>
  <c r="E104" i="39"/>
  <c r="E105" i="39"/>
  <c r="E106" i="39"/>
  <c r="E107" i="39"/>
  <c r="E108" i="39"/>
  <c r="E109" i="39"/>
  <c r="E110" i="39"/>
  <c r="E111" i="39"/>
  <c r="E112" i="39"/>
  <c r="E113" i="39"/>
  <c r="E114" i="39"/>
  <c r="E17" i="39"/>
  <c r="C113" i="39"/>
  <c r="C114" i="39"/>
  <c r="C97" i="39"/>
  <c r="C98" i="39"/>
  <c r="C99" i="39"/>
  <c r="C100" i="39"/>
  <c r="C101" i="39"/>
  <c r="C102" i="39"/>
  <c r="C103" i="39"/>
  <c r="C104" i="39"/>
  <c r="C105" i="39"/>
  <c r="C106" i="39"/>
  <c r="C107" i="39"/>
  <c r="C108" i="39"/>
  <c r="C109" i="39"/>
  <c r="C110" i="39"/>
  <c r="C111" i="39"/>
  <c r="C112" i="39"/>
  <c r="C83" i="39"/>
  <c r="C84" i="39"/>
  <c r="C85" i="39"/>
  <c r="C86" i="39"/>
  <c r="C87" i="39"/>
  <c r="C88" i="39"/>
  <c r="C89" i="39"/>
  <c r="C90" i="39"/>
  <c r="C91" i="39"/>
  <c r="C92" i="39"/>
  <c r="C93" i="39"/>
  <c r="C94" i="39"/>
  <c r="C95" i="39"/>
  <c r="C96" i="39"/>
  <c r="C51" i="39"/>
  <c r="C52" i="39"/>
  <c r="C53" i="39"/>
  <c r="C54" i="39"/>
  <c r="C55" i="39"/>
  <c r="C56" i="39"/>
  <c r="C57" i="39"/>
  <c r="C58" i="39"/>
  <c r="C59" i="39"/>
  <c r="C60" i="39"/>
  <c r="C61" i="39"/>
  <c r="C62" i="39"/>
  <c r="C63" i="39"/>
  <c r="C64" i="39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C79" i="39"/>
  <c r="C80" i="39"/>
  <c r="C81" i="39"/>
  <c r="C82" i="39"/>
  <c r="C43" i="39"/>
  <c r="C44" i="39"/>
  <c r="C45" i="39"/>
  <c r="C46" i="39"/>
  <c r="C47" i="39"/>
  <c r="C48" i="39"/>
  <c r="C49" i="39"/>
  <c r="C50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17" i="39"/>
  <c r="F155" i="14"/>
  <c r="F58" i="14"/>
  <c r="F59" i="14"/>
  <c r="F60" i="14"/>
  <c r="F61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6" i="14"/>
  <c r="F77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57" i="14"/>
  <c r="A2" i="31" l="1"/>
  <c r="D363" i="38"/>
  <c r="D364" i="38"/>
  <c r="D365" i="38"/>
  <c r="D366" i="38"/>
  <c r="D367" i="38"/>
  <c r="D368" i="38"/>
  <c r="D482" i="31"/>
  <c r="E512" i="14"/>
  <c r="E483" i="31" s="1"/>
  <c r="E513" i="14"/>
  <c r="E484" i="31" s="1"/>
  <c r="E514" i="14"/>
  <c r="E485" i="31" s="1"/>
  <c r="E515" i="14"/>
  <c r="E486" i="31" s="1"/>
  <c r="E516" i="14"/>
  <c r="E487" i="31" s="1"/>
  <c r="E511" i="14"/>
  <c r="F511" i="14" s="1"/>
  <c r="F482" i="31" s="1"/>
  <c r="D516" i="14"/>
  <c r="D487" i="31" s="1"/>
  <c r="E368" i="38" s="1"/>
  <c r="D515" i="14"/>
  <c r="F515" i="14" s="1"/>
  <c r="F486" i="31" s="1"/>
  <c r="D514" i="14"/>
  <c r="D485" i="31" s="1"/>
  <c r="E366" i="38" s="1"/>
  <c r="D513" i="14"/>
  <c r="F513" i="14" s="1"/>
  <c r="F484" i="31" s="1"/>
  <c r="D512" i="14"/>
  <c r="D483" i="31" s="1"/>
  <c r="E364" i="38" s="1"/>
  <c r="A517" i="14"/>
  <c r="A516" i="14"/>
  <c r="A512" i="14"/>
  <c r="A513" i="14"/>
  <c r="A514" i="14"/>
  <c r="A515" i="14"/>
  <c r="A511" i="14"/>
  <c r="D457" i="15"/>
  <c r="F457" i="15" s="1"/>
  <c r="D456" i="15"/>
  <c r="F456" i="15" s="1"/>
  <c r="D455" i="15"/>
  <c r="F455" i="15" s="1"/>
  <c r="D454" i="15"/>
  <c r="F454" i="15" s="1"/>
  <c r="D453" i="15"/>
  <c r="F453" i="15" s="1"/>
  <c r="D452" i="15"/>
  <c r="F452" i="15" s="1"/>
  <c r="F514" i="14" l="1"/>
  <c r="F485" i="31" s="1"/>
  <c r="F516" i="14"/>
  <c r="F487" i="31" s="1"/>
  <c r="F512" i="14"/>
  <c r="F483" i="31" s="1"/>
  <c r="D486" i="31"/>
  <c r="E367" i="38" s="1"/>
  <c r="D484" i="31"/>
  <c r="E365" i="38" s="1"/>
  <c r="E482" i="31"/>
  <c r="F159" i="15"/>
  <c r="F204" i="14"/>
  <c r="B204" i="14"/>
  <c r="A204" i="14"/>
  <c r="F182" i="31"/>
  <c r="C363" i="40"/>
  <c r="C364" i="40"/>
  <c r="C143" i="40"/>
  <c r="E94" i="40"/>
  <c r="E103" i="40"/>
  <c r="C86" i="40"/>
  <c r="C87" i="40"/>
  <c r="C88" i="40"/>
  <c r="C89" i="40"/>
  <c r="C90" i="40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4" i="40"/>
  <c r="E134" i="39"/>
  <c r="E136" i="39"/>
  <c r="E140" i="39"/>
  <c r="E141" i="39"/>
  <c r="E142" i="39"/>
  <c r="D145" i="38"/>
  <c r="D146" i="38"/>
  <c r="D147" i="38"/>
  <c r="D148" i="38"/>
  <c r="D149" i="38"/>
  <c r="D150" i="38"/>
  <c r="D151" i="38"/>
  <c r="D152" i="38"/>
  <c r="D153" i="38"/>
  <c r="D154" i="38"/>
  <c r="D155" i="38"/>
  <c r="D156" i="38"/>
  <c r="D157" i="38"/>
  <c r="D158" i="38"/>
  <c r="D159" i="38"/>
  <c r="D160" i="38"/>
  <c r="D161" i="38"/>
  <c r="D162" i="38"/>
  <c r="D163" i="38"/>
  <c r="D164" i="38"/>
  <c r="D165" i="38"/>
  <c r="D166" i="38"/>
  <c r="D167" i="38"/>
  <c r="D168" i="38"/>
  <c r="D169" i="38"/>
  <c r="D170" i="38"/>
  <c r="D171" i="38"/>
  <c r="D172" i="38"/>
  <c r="D173" i="38"/>
  <c r="D174" i="38"/>
  <c r="D175" i="38"/>
  <c r="D176" i="38"/>
  <c r="D177" i="38"/>
  <c r="D178" i="38"/>
  <c r="D179" i="38"/>
  <c r="D180" i="38"/>
  <c r="D181" i="38"/>
  <c r="D182" i="38"/>
  <c r="D183" i="38"/>
  <c r="D184" i="38"/>
  <c r="D185" i="38"/>
  <c r="D186" i="38"/>
  <c r="D187" i="38"/>
  <c r="D188" i="38"/>
  <c r="D189" i="38"/>
  <c r="D190" i="38"/>
  <c r="D191" i="38"/>
  <c r="D192" i="38"/>
  <c r="D193" i="38"/>
  <c r="D194" i="38"/>
  <c r="D195" i="38"/>
  <c r="D196" i="38"/>
  <c r="D197" i="38"/>
  <c r="D198" i="38"/>
  <c r="D199" i="38"/>
  <c r="D200" i="38"/>
  <c r="D201" i="38"/>
  <c r="D202" i="38"/>
  <c r="D203" i="38"/>
  <c r="D204" i="38"/>
  <c r="D205" i="38"/>
  <c r="D206" i="38"/>
  <c r="D207" i="38"/>
  <c r="D208" i="38"/>
  <c r="D209" i="38"/>
  <c r="D210" i="38"/>
  <c r="D211" i="38"/>
  <c r="D212" i="38"/>
  <c r="D213" i="38"/>
  <c r="D214" i="38"/>
  <c r="D215" i="38"/>
  <c r="D216" i="38"/>
  <c r="D217" i="38"/>
  <c r="D218" i="38"/>
  <c r="D219" i="38"/>
  <c r="D220" i="38"/>
  <c r="D221" i="38"/>
  <c r="D222" i="38"/>
  <c r="D223" i="38"/>
  <c r="D224" i="38"/>
  <c r="D225" i="38"/>
  <c r="D226" i="38"/>
  <c r="D227" i="38"/>
  <c r="D228" i="38"/>
  <c r="D229" i="38"/>
  <c r="D230" i="38"/>
  <c r="D231" i="38"/>
  <c r="D232" i="38"/>
  <c r="D233" i="38"/>
  <c r="D234" i="38"/>
  <c r="D235" i="38"/>
  <c r="D236" i="38"/>
  <c r="D237" i="38"/>
  <c r="D238" i="38"/>
  <c r="D239" i="38"/>
  <c r="D240" i="38"/>
  <c r="D241" i="38"/>
  <c r="D242" i="38"/>
  <c r="D243" i="38"/>
  <c r="D244" i="38"/>
  <c r="D245" i="38"/>
  <c r="D246" i="38"/>
  <c r="D247" i="38"/>
  <c r="D248" i="38"/>
  <c r="D249" i="38"/>
  <c r="D250" i="38"/>
  <c r="D251" i="38"/>
  <c r="D252" i="38"/>
  <c r="D253" i="38"/>
  <c r="D254" i="38"/>
  <c r="D255" i="38"/>
  <c r="D256" i="38"/>
  <c r="D257" i="38"/>
  <c r="D258" i="38"/>
  <c r="D259" i="38"/>
  <c r="D260" i="38"/>
  <c r="D261" i="38"/>
  <c r="D262" i="38"/>
  <c r="D263" i="38"/>
  <c r="D264" i="38"/>
  <c r="D265" i="38"/>
  <c r="D266" i="38"/>
  <c r="D267" i="38"/>
  <c r="D268" i="38"/>
  <c r="D269" i="38"/>
  <c r="D270" i="38"/>
  <c r="D271" i="38"/>
  <c r="D272" i="38"/>
  <c r="D273" i="38"/>
  <c r="D274" i="38"/>
  <c r="D275" i="38"/>
  <c r="D276" i="38"/>
  <c r="D277" i="38"/>
  <c r="D278" i="38"/>
  <c r="D279" i="38"/>
  <c r="D280" i="38"/>
  <c r="D281" i="38"/>
  <c r="D282" i="38"/>
  <c r="D283" i="38"/>
  <c r="D284" i="38"/>
  <c r="D285" i="38"/>
  <c r="D286" i="38"/>
  <c r="D287" i="38"/>
  <c r="D288" i="38"/>
  <c r="D289" i="38"/>
  <c r="D290" i="38"/>
  <c r="D291" i="38"/>
  <c r="D292" i="38"/>
  <c r="D293" i="38"/>
  <c r="D294" i="38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D327" i="38"/>
  <c r="D328" i="38"/>
  <c r="D329" i="38"/>
  <c r="D330" i="38"/>
  <c r="D331" i="38"/>
  <c r="D332" i="38"/>
  <c r="D333" i="38"/>
  <c r="D334" i="38"/>
  <c r="D335" i="38"/>
  <c r="D336" i="38"/>
  <c r="D337" i="38"/>
  <c r="D338" i="38"/>
  <c r="D339" i="38"/>
  <c r="D340" i="38"/>
  <c r="D341" i="38"/>
  <c r="D342" i="38"/>
  <c r="D343" i="38"/>
  <c r="D344" i="38"/>
  <c r="D345" i="38"/>
  <c r="D346" i="38"/>
  <c r="D347" i="38"/>
  <c r="D348" i="38"/>
  <c r="D349" i="38"/>
  <c r="D350" i="38"/>
  <c r="D351" i="38"/>
  <c r="D352" i="38"/>
  <c r="D353" i="38"/>
  <c r="D354" i="38"/>
  <c r="D355" i="38"/>
  <c r="D356" i="38"/>
  <c r="D357" i="38"/>
  <c r="D358" i="38"/>
  <c r="D359" i="38"/>
  <c r="D360" i="38"/>
  <c r="D361" i="38"/>
  <c r="D362" i="38"/>
  <c r="E102" i="38"/>
  <c r="C102" i="38"/>
  <c r="A482" i="31"/>
  <c r="A483" i="31"/>
  <c r="A484" i="31"/>
  <c r="A485" i="31"/>
  <c r="A486" i="31"/>
  <c r="A487" i="31"/>
  <c r="E234" i="15"/>
  <c r="E293" i="14" s="1"/>
  <c r="E235" i="15"/>
  <c r="E294" i="14" s="1"/>
  <c r="E236" i="15"/>
  <c r="E295" i="14" s="1"/>
  <c r="E237" i="15"/>
  <c r="E296" i="14" s="1"/>
  <c r="E238" i="15"/>
  <c r="E297" i="14" s="1"/>
  <c r="E239" i="15"/>
  <c r="E298" i="14" s="1"/>
  <c r="E240" i="15"/>
  <c r="E299" i="14" s="1"/>
  <c r="E241" i="15"/>
  <c r="E300" i="14" s="1"/>
  <c r="E242" i="15"/>
  <c r="E301" i="14" s="1"/>
  <c r="E243" i="15"/>
  <c r="E302" i="14" s="1"/>
  <c r="E244" i="15"/>
  <c r="E303" i="14" s="1"/>
  <c r="E245" i="15"/>
  <c r="E304" i="14" s="1"/>
  <c r="E246" i="15"/>
  <c r="E305" i="14" s="1"/>
  <c r="E247" i="15"/>
  <c r="E306" i="14" s="1"/>
  <c r="E248" i="15"/>
  <c r="E307" i="14" s="1"/>
  <c r="E249" i="15"/>
  <c r="E308" i="14" s="1"/>
  <c r="E250" i="15"/>
  <c r="E309" i="14" s="1"/>
  <c r="E251" i="15"/>
  <c r="E310" i="14" s="1"/>
  <c r="E252" i="15"/>
  <c r="E311" i="14" s="1"/>
  <c r="E253" i="15"/>
  <c r="E312" i="14" s="1"/>
  <c r="E254" i="15"/>
  <c r="E313" i="14" s="1"/>
  <c r="E255" i="15"/>
  <c r="E314" i="14" s="1"/>
  <c r="E256" i="15"/>
  <c r="E315" i="14" s="1"/>
  <c r="E257" i="15"/>
  <c r="E316" i="14" s="1"/>
  <c r="E258" i="15"/>
  <c r="E317" i="14" s="1"/>
  <c r="E259" i="15"/>
  <c r="E318" i="14" s="1"/>
  <c r="E260" i="15"/>
  <c r="E319" i="14" s="1"/>
  <c r="E261" i="15"/>
  <c r="E320" i="14" s="1"/>
  <c r="E262" i="15"/>
  <c r="E321" i="14" s="1"/>
  <c r="E263" i="15"/>
  <c r="E322" i="14" s="1"/>
  <c r="E264" i="15"/>
  <c r="E323" i="14" s="1"/>
  <c r="E265" i="15"/>
  <c r="E324" i="14" s="1"/>
  <c r="E266" i="15"/>
  <c r="E325" i="14" s="1"/>
  <c r="E267" i="15"/>
  <c r="E326" i="14" s="1"/>
  <c r="E268" i="15"/>
  <c r="E327" i="14" s="1"/>
  <c r="E269" i="15"/>
  <c r="E328" i="14" s="1"/>
  <c r="E270" i="15"/>
  <c r="E329" i="14" s="1"/>
  <c r="E271" i="15"/>
  <c r="E330" i="14" s="1"/>
  <c r="E272" i="15"/>
  <c r="E331" i="14" s="1"/>
  <c r="E273" i="15"/>
  <c r="E332" i="14" s="1"/>
  <c r="E274" i="15"/>
  <c r="E333" i="14" s="1"/>
  <c r="E275" i="15"/>
  <c r="E334" i="14" s="1"/>
  <c r="E276" i="15"/>
  <c r="E335" i="14" s="1"/>
  <c r="E306" i="31" s="1"/>
  <c r="E277" i="15"/>
  <c r="E336" i="14" s="1"/>
  <c r="E307" i="31" s="1"/>
  <c r="E278" i="15"/>
  <c r="E337" i="14" s="1"/>
  <c r="E308" i="31" s="1"/>
  <c r="E279" i="15"/>
  <c r="E338" i="14" s="1"/>
  <c r="E309" i="31" s="1"/>
  <c r="E280" i="15"/>
  <c r="E339" i="14" s="1"/>
  <c r="E310" i="31" s="1"/>
  <c r="E281" i="15"/>
  <c r="E340" i="14" s="1"/>
  <c r="E311" i="31" s="1"/>
  <c r="E282" i="15"/>
  <c r="E341" i="14" s="1"/>
  <c r="E312" i="31" s="1"/>
  <c r="E283" i="15"/>
  <c r="E342" i="14" s="1"/>
  <c r="E313" i="31" s="1"/>
  <c r="E284" i="15"/>
  <c r="E343" i="14" s="1"/>
  <c r="E314" i="31" s="1"/>
  <c r="E285" i="15"/>
  <c r="E344" i="14" s="1"/>
  <c r="E315" i="31" s="1"/>
  <c r="E286" i="15"/>
  <c r="E345" i="14" s="1"/>
  <c r="E316" i="31" s="1"/>
  <c r="E287" i="15"/>
  <c r="E346" i="14" s="1"/>
  <c r="E317" i="31" s="1"/>
  <c r="E288" i="15"/>
  <c r="E347" i="14" s="1"/>
  <c r="E318" i="31" s="1"/>
  <c r="E289" i="15"/>
  <c r="E348" i="14" s="1"/>
  <c r="E319" i="31" s="1"/>
  <c r="E290" i="15"/>
  <c r="E349" i="14" s="1"/>
  <c r="E320" i="31" s="1"/>
  <c r="E291" i="15"/>
  <c r="E350" i="14" s="1"/>
  <c r="E321" i="31" s="1"/>
  <c r="E292" i="15"/>
  <c r="E351" i="14" s="1"/>
  <c r="E322" i="31" s="1"/>
  <c r="E293" i="15"/>
  <c r="E352" i="14" s="1"/>
  <c r="E323" i="31" s="1"/>
  <c r="E294" i="15"/>
  <c r="E353" i="14" s="1"/>
  <c r="E324" i="31" s="1"/>
  <c r="E295" i="15"/>
  <c r="E354" i="14" s="1"/>
  <c r="E325" i="31" s="1"/>
  <c r="E296" i="15"/>
  <c r="E355" i="14" s="1"/>
  <c r="E326" i="31" s="1"/>
  <c r="E297" i="15"/>
  <c r="E356" i="14" s="1"/>
  <c r="E327" i="31" s="1"/>
  <c r="E298" i="15"/>
  <c r="E357" i="14" s="1"/>
  <c r="E328" i="31" s="1"/>
  <c r="E299" i="15"/>
  <c r="E358" i="14" s="1"/>
  <c r="E329" i="31" s="1"/>
  <c r="E300" i="15"/>
  <c r="E359" i="14" s="1"/>
  <c r="E330" i="31" s="1"/>
  <c r="E301" i="15"/>
  <c r="E360" i="14" s="1"/>
  <c r="E331" i="31" s="1"/>
  <c r="E302" i="15"/>
  <c r="E361" i="14" s="1"/>
  <c r="E332" i="31" s="1"/>
  <c r="E303" i="15"/>
  <c r="E362" i="14" s="1"/>
  <c r="E333" i="31" s="1"/>
  <c r="E304" i="15"/>
  <c r="E363" i="14" s="1"/>
  <c r="E334" i="31" s="1"/>
  <c r="E305" i="15"/>
  <c r="E364" i="14" s="1"/>
  <c r="E335" i="31" s="1"/>
  <c r="E306" i="15"/>
  <c r="E365" i="14" s="1"/>
  <c r="E336" i="31" s="1"/>
  <c r="E307" i="15"/>
  <c r="E366" i="14" s="1"/>
  <c r="E337" i="31" s="1"/>
  <c r="E308" i="15"/>
  <c r="E367" i="14" s="1"/>
  <c r="E338" i="31" s="1"/>
  <c r="E309" i="15"/>
  <c r="E368" i="14" s="1"/>
  <c r="E339" i="31" s="1"/>
  <c r="E310" i="15"/>
  <c r="E369" i="14" s="1"/>
  <c r="E340" i="31" s="1"/>
  <c r="E311" i="15"/>
  <c r="E370" i="14" s="1"/>
  <c r="E341" i="31" s="1"/>
  <c r="E312" i="15"/>
  <c r="E371" i="14" s="1"/>
  <c r="E342" i="31" s="1"/>
  <c r="E313" i="15"/>
  <c r="E372" i="14" s="1"/>
  <c r="E343" i="31" s="1"/>
  <c r="E314" i="15"/>
  <c r="E373" i="14" s="1"/>
  <c r="E344" i="31" s="1"/>
  <c r="E315" i="15"/>
  <c r="E374" i="14" s="1"/>
  <c r="E345" i="31" s="1"/>
  <c r="E316" i="15"/>
  <c r="E375" i="14" s="1"/>
  <c r="E346" i="31" s="1"/>
  <c r="E317" i="15"/>
  <c r="E376" i="14" s="1"/>
  <c r="E347" i="31" s="1"/>
  <c r="E318" i="15"/>
  <c r="E377" i="14" s="1"/>
  <c r="E348" i="31" s="1"/>
  <c r="E319" i="15"/>
  <c r="E378" i="14" s="1"/>
  <c r="E349" i="31" s="1"/>
  <c r="E320" i="15"/>
  <c r="E379" i="14" s="1"/>
  <c r="E350" i="31" s="1"/>
  <c r="E321" i="15"/>
  <c r="E380" i="14" s="1"/>
  <c r="E351" i="31" s="1"/>
  <c r="E322" i="15"/>
  <c r="E381" i="14" s="1"/>
  <c r="E352" i="31" s="1"/>
  <c r="E323" i="15"/>
  <c r="E382" i="14" s="1"/>
  <c r="E353" i="31" s="1"/>
  <c r="E324" i="15"/>
  <c r="E383" i="14" s="1"/>
  <c r="E354" i="31" s="1"/>
  <c r="E325" i="15"/>
  <c r="E384" i="14" s="1"/>
  <c r="E355" i="31" s="1"/>
  <c r="E326" i="15"/>
  <c r="E385" i="14" s="1"/>
  <c r="E356" i="31" s="1"/>
  <c r="E327" i="15"/>
  <c r="E386" i="14" s="1"/>
  <c r="E357" i="31" s="1"/>
  <c r="E328" i="15"/>
  <c r="E387" i="14" s="1"/>
  <c r="E358" i="31" s="1"/>
  <c r="E329" i="15"/>
  <c r="E388" i="14" s="1"/>
  <c r="E359" i="31" s="1"/>
  <c r="E330" i="15"/>
  <c r="E389" i="14" s="1"/>
  <c r="E360" i="31" s="1"/>
  <c r="E331" i="15"/>
  <c r="E390" i="14" s="1"/>
  <c r="E361" i="31" s="1"/>
  <c r="E332" i="15"/>
  <c r="E391" i="14" s="1"/>
  <c r="E362" i="31" s="1"/>
  <c r="E333" i="15"/>
  <c r="E392" i="14" s="1"/>
  <c r="E363" i="31" s="1"/>
  <c r="E334" i="15"/>
  <c r="E393" i="14" s="1"/>
  <c r="E364" i="31" s="1"/>
  <c r="E335" i="15"/>
  <c r="E394" i="14" s="1"/>
  <c r="E365" i="31" s="1"/>
  <c r="E336" i="15"/>
  <c r="E395" i="14" s="1"/>
  <c r="E366" i="31" s="1"/>
  <c r="E337" i="15"/>
  <c r="E396" i="14" s="1"/>
  <c r="E367" i="31" s="1"/>
  <c r="E338" i="15"/>
  <c r="E397" i="14" s="1"/>
  <c r="E368" i="31" s="1"/>
  <c r="E339" i="15"/>
  <c r="E398" i="14" s="1"/>
  <c r="E369" i="31" s="1"/>
  <c r="E340" i="15"/>
  <c r="E399" i="14" s="1"/>
  <c r="E370" i="31" s="1"/>
  <c r="E341" i="15"/>
  <c r="E400" i="14" s="1"/>
  <c r="E371" i="31" s="1"/>
  <c r="E342" i="15"/>
  <c r="E401" i="14" s="1"/>
  <c r="E372" i="31" s="1"/>
  <c r="E343" i="15"/>
  <c r="E402" i="14" s="1"/>
  <c r="E373" i="31" s="1"/>
  <c r="E344" i="15"/>
  <c r="E403" i="14" s="1"/>
  <c r="E374" i="31" s="1"/>
  <c r="E345" i="15"/>
  <c r="E404" i="14" s="1"/>
  <c r="E375" i="31" s="1"/>
  <c r="E346" i="15"/>
  <c r="E405" i="14" s="1"/>
  <c r="E376" i="31" s="1"/>
  <c r="E347" i="15"/>
  <c r="E406" i="14" s="1"/>
  <c r="E377" i="31" s="1"/>
  <c r="E348" i="15"/>
  <c r="E407" i="14" s="1"/>
  <c r="E378" i="31" s="1"/>
  <c r="E349" i="15"/>
  <c r="E408" i="14" s="1"/>
  <c r="E379" i="31" s="1"/>
  <c r="E350" i="15"/>
  <c r="E409" i="14" s="1"/>
  <c r="E380" i="31" s="1"/>
  <c r="E351" i="15"/>
  <c r="E410" i="14" s="1"/>
  <c r="E381" i="31" s="1"/>
  <c r="E352" i="15"/>
  <c r="E411" i="14" s="1"/>
  <c r="E382" i="31" s="1"/>
  <c r="E353" i="15"/>
  <c r="E412" i="14" s="1"/>
  <c r="E383" i="31" s="1"/>
  <c r="E354" i="15"/>
  <c r="E413" i="14" s="1"/>
  <c r="E384" i="31" s="1"/>
  <c r="E355" i="15"/>
  <c r="E414" i="14" s="1"/>
  <c r="E385" i="31" s="1"/>
  <c r="E356" i="15"/>
  <c r="E415" i="14" s="1"/>
  <c r="E386" i="31" s="1"/>
  <c r="E357" i="15"/>
  <c r="E416" i="14" s="1"/>
  <c r="E387" i="31" s="1"/>
  <c r="E358" i="15"/>
  <c r="E417" i="14" s="1"/>
  <c r="E388" i="31" s="1"/>
  <c r="E359" i="15"/>
  <c r="E418" i="14" s="1"/>
  <c r="E389" i="31" s="1"/>
  <c r="E360" i="15"/>
  <c r="E419" i="14" s="1"/>
  <c r="E390" i="31" s="1"/>
  <c r="E361" i="15"/>
  <c r="E420" i="14" s="1"/>
  <c r="E391" i="31" s="1"/>
  <c r="E362" i="15"/>
  <c r="E421" i="14" s="1"/>
  <c r="E392" i="31" s="1"/>
  <c r="E363" i="15"/>
  <c r="E422" i="14" s="1"/>
  <c r="E393" i="31" s="1"/>
  <c r="E364" i="15"/>
  <c r="E423" i="14" s="1"/>
  <c r="E394" i="31" s="1"/>
  <c r="E365" i="15"/>
  <c r="E424" i="14" s="1"/>
  <c r="E395" i="31" s="1"/>
  <c r="E366" i="15"/>
  <c r="E425" i="14" s="1"/>
  <c r="E396" i="31" s="1"/>
  <c r="E367" i="15"/>
  <c r="E426" i="14" s="1"/>
  <c r="E397" i="31" s="1"/>
  <c r="E368" i="15"/>
  <c r="E427" i="14" s="1"/>
  <c r="E398" i="31" s="1"/>
  <c r="E369" i="15"/>
  <c r="E428" i="14" s="1"/>
  <c r="E399" i="31" s="1"/>
  <c r="E370" i="15"/>
  <c r="E429" i="14" s="1"/>
  <c r="E400" i="31" s="1"/>
  <c r="E371" i="15"/>
  <c r="E430" i="14" s="1"/>
  <c r="E401" i="31" s="1"/>
  <c r="E372" i="15"/>
  <c r="E431" i="14" s="1"/>
  <c r="E402" i="31" s="1"/>
  <c r="E373" i="15"/>
  <c r="E432" i="14" s="1"/>
  <c r="E403" i="31" s="1"/>
  <c r="E374" i="15"/>
  <c r="E433" i="14" s="1"/>
  <c r="E404" i="31" s="1"/>
  <c r="E375" i="15"/>
  <c r="E434" i="14" s="1"/>
  <c r="E405" i="31" s="1"/>
  <c r="E376" i="15"/>
  <c r="E435" i="14" s="1"/>
  <c r="E406" i="31" s="1"/>
  <c r="E377" i="15"/>
  <c r="E436" i="14" s="1"/>
  <c r="E407" i="31" s="1"/>
  <c r="E378" i="15"/>
  <c r="E437" i="14" s="1"/>
  <c r="E408" i="31" s="1"/>
  <c r="E379" i="15"/>
  <c r="E438" i="14" s="1"/>
  <c r="E409" i="31" s="1"/>
  <c r="E380" i="15"/>
  <c r="E439" i="14" s="1"/>
  <c r="E410" i="31" s="1"/>
  <c r="E381" i="15"/>
  <c r="E440" i="14" s="1"/>
  <c r="E411" i="31" s="1"/>
  <c r="E382" i="15"/>
  <c r="E441" i="14" s="1"/>
  <c r="E412" i="31" s="1"/>
  <c r="E383" i="15"/>
  <c r="E442" i="14" s="1"/>
  <c r="E413" i="31" s="1"/>
  <c r="E384" i="15"/>
  <c r="E443" i="14" s="1"/>
  <c r="E414" i="31" s="1"/>
  <c r="E385" i="15"/>
  <c r="E444" i="14" s="1"/>
  <c r="E415" i="31" s="1"/>
  <c r="E386" i="15"/>
  <c r="E445" i="14" s="1"/>
  <c r="E416" i="31" s="1"/>
  <c r="E387" i="15"/>
  <c r="E446" i="14" s="1"/>
  <c r="E417" i="31" s="1"/>
  <c r="E388" i="15"/>
  <c r="E447" i="14" s="1"/>
  <c r="E418" i="31" s="1"/>
  <c r="E389" i="15"/>
  <c r="E448" i="14" s="1"/>
  <c r="E419" i="31" s="1"/>
  <c r="E390" i="15"/>
  <c r="E449" i="14" s="1"/>
  <c r="E420" i="31" s="1"/>
  <c r="E391" i="15"/>
  <c r="E450" i="14" s="1"/>
  <c r="E421" i="31" s="1"/>
  <c r="E392" i="15"/>
  <c r="E451" i="14" s="1"/>
  <c r="E422" i="31" s="1"/>
  <c r="E393" i="15"/>
  <c r="E452" i="14" s="1"/>
  <c r="E423" i="31" s="1"/>
  <c r="E394" i="15"/>
  <c r="E453" i="14" s="1"/>
  <c r="E424" i="31" s="1"/>
  <c r="E395" i="15"/>
  <c r="E454" i="14" s="1"/>
  <c r="E425" i="31" s="1"/>
  <c r="E396" i="15"/>
  <c r="E455" i="14" s="1"/>
  <c r="E426" i="31" s="1"/>
  <c r="E397" i="15"/>
  <c r="E456" i="14" s="1"/>
  <c r="E427" i="31" s="1"/>
  <c r="E398" i="15"/>
  <c r="E457" i="14" s="1"/>
  <c r="E428" i="31" s="1"/>
  <c r="E399" i="15"/>
  <c r="E458" i="14" s="1"/>
  <c r="E429" i="31" s="1"/>
  <c r="E400" i="15"/>
  <c r="E459" i="14" s="1"/>
  <c r="E430" i="31" s="1"/>
  <c r="E401" i="15"/>
  <c r="E460" i="14" s="1"/>
  <c r="E431" i="31" s="1"/>
  <c r="E402" i="15"/>
  <c r="E461" i="14" s="1"/>
  <c r="E432" i="31" s="1"/>
  <c r="E403" i="15"/>
  <c r="E462" i="14" s="1"/>
  <c r="E433" i="31" s="1"/>
  <c r="E404" i="15"/>
  <c r="E463" i="14" s="1"/>
  <c r="E434" i="31" s="1"/>
  <c r="E405" i="15"/>
  <c r="E464" i="14" s="1"/>
  <c r="E435" i="31" s="1"/>
  <c r="E406" i="15"/>
  <c r="E465" i="14" s="1"/>
  <c r="E436" i="31" s="1"/>
  <c r="E407" i="15"/>
  <c r="E466" i="14" s="1"/>
  <c r="E437" i="31" s="1"/>
  <c r="E408" i="15"/>
  <c r="E467" i="14" s="1"/>
  <c r="E438" i="31" s="1"/>
  <c r="E409" i="15"/>
  <c r="E468" i="14" s="1"/>
  <c r="E439" i="31" s="1"/>
  <c r="E410" i="15"/>
  <c r="E469" i="14" s="1"/>
  <c r="E440" i="31" s="1"/>
  <c r="E411" i="15"/>
  <c r="E470" i="14" s="1"/>
  <c r="E441" i="31" s="1"/>
  <c r="E412" i="15"/>
  <c r="E471" i="14" s="1"/>
  <c r="E442" i="31" s="1"/>
  <c r="E413" i="15"/>
  <c r="E472" i="14" s="1"/>
  <c r="E443" i="31" s="1"/>
  <c r="E414" i="15"/>
  <c r="E473" i="14" s="1"/>
  <c r="E444" i="31" s="1"/>
  <c r="E415" i="15"/>
  <c r="E474" i="14" s="1"/>
  <c r="E445" i="31" s="1"/>
  <c r="E416" i="15"/>
  <c r="E475" i="14" s="1"/>
  <c r="E446" i="31" s="1"/>
  <c r="E417" i="15"/>
  <c r="E476" i="14" s="1"/>
  <c r="E447" i="31" s="1"/>
  <c r="E418" i="15"/>
  <c r="E477" i="14" s="1"/>
  <c r="E448" i="31" s="1"/>
  <c r="E419" i="15"/>
  <c r="E478" i="14" s="1"/>
  <c r="E449" i="31" s="1"/>
  <c r="E420" i="15"/>
  <c r="E479" i="14" s="1"/>
  <c r="E450" i="31" s="1"/>
  <c r="E421" i="15"/>
  <c r="E480" i="14" s="1"/>
  <c r="E451" i="31" s="1"/>
  <c r="E422" i="15"/>
  <c r="E481" i="14" s="1"/>
  <c r="E452" i="31" s="1"/>
  <c r="E423" i="15"/>
  <c r="E482" i="14" s="1"/>
  <c r="E453" i="31" s="1"/>
  <c r="E424" i="15"/>
  <c r="E483" i="14" s="1"/>
  <c r="E454" i="31" s="1"/>
  <c r="E425" i="15"/>
  <c r="E484" i="14" s="1"/>
  <c r="E455" i="31" s="1"/>
  <c r="E426" i="15"/>
  <c r="E485" i="14" s="1"/>
  <c r="E456" i="31" s="1"/>
  <c r="E427" i="15"/>
  <c r="E486" i="14" s="1"/>
  <c r="E457" i="31" s="1"/>
  <c r="E428" i="15"/>
  <c r="E487" i="14" s="1"/>
  <c r="E458" i="31" s="1"/>
  <c r="E429" i="15"/>
  <c r="E488" i="14" s="1"/>
  <c r="E459" i="31" s="1"/>
  <c r="E430" i="15"/>
  <c r="E489" i="14" s="1"/>
  <c r="E460" i="31" s="1"/>
  <c r="E431" i="15"/>
  <c r="E490" i="14" s="1"/>
  <c r="E461" i="31" s="1"/>
  <c r="E432" i="15"/>
  <c r="E491" i="14" s="1"/>
  <c r="E462" i="31" s="1"/>
  <c r="E433" i="15"/>
  <c r="E492" i="14" s="1"/>
  <c r="E463" i="31" s="1"/>
  <c r="E434" i="15"/>
  <c r="E493" i="14" s="1"/>
  <c r="E464" i="31" s="1"/>
  <c r="E435" i="15"/>
  <c r="E494" i="14" s="1"/>
  <c r="E465" i="31" s="1"/>
  <c r="E436" i="15"/>
  <c r="E495" i="14" s="1"/>
  <c r="E466" i="31" s="1"/>
  <c r="E437" i="15"/>
  <c r="E496" i="14" s="1"/>
  <c r="E467" i="31" s="1"/>
  <c r="E438" i="15"/>
  <c r="E497" i="14" s="1"/>
  <c r="E468" i="31" s="1"/>
  <c r="E439" i="15"/>
  <c r="E498" i="14" s="1"/>
  <c r="E469" i="31" s="1"/>
  <c r="E440" i="15"/>
  <c r="E499" i="14" s="1"/>
  <c r="E470" i="31" s="1"/>
  <c r="E441" i="15"/>
  <c r="E500" i="14" s="1"/>
  <c r="E471" i="31" s="1"/>
  <c r="E442" i="15"/>
  <c r="E501" i="14" s="1"/>
  <c r="E472" i="31" s="1"/>
  <c r="E443" i="15"/>
  <c r="E502" i="14" s="1"/>
  <c r="E473" i="31" s="1"/>
  <c r="E444" i="15"/>
  <c r="E503" i="14" s="1"/>
  <c r="E474" i="31" s="1"/>
  <c r="E445" i="15"/>
  <c r="E504" i="14" s="1"/>
  <c r="E475" i="31" s="1"/>
  <c r="E446" i="15"/>
  <c r="E505" i="14" s="1"/>
  <c r="E476" i="31" s="1"/>
  <c r="E447" i="15"/>
  <c r="E506" i="14" s="1"/>
  <c r="E477" i="31" s="1"/>
  <c r="E448" i="15"/>
  <c r="E507" i="14" s="1"/>
  <c r="E478" i="31" s="1"/>
  <c r="E449" i="15"/>
  <c r="E508" i="14" s="1"/>
  <c r="E479" i="31" s="1"/>
  <c r="E450" i="15"/>
  <c r="E509" i="14" s="1"/>
  <c r="E480" i="31" s="1"/>
  <c r="E451" i="15"/>
  <c r="E510" i="14" s="1"/>
  <c r="E481" i="31" s="1"/>
  <c r="E233" i="15"/>
  <c r="A449" i="15"/>
  <c r="C360" i="40" s="1"/>
  <c r="A450" i="15"/>
  <c r="A451" i="15"/>
  <c r="C362" i="40" s="1"/>
  <c r="A445" i="15"/>
  <c r="A446" i="15"/>
  <c r="C357" i="40" s="1"/>
  <c r="A447" i="15"/>
  <c r="A448" i="15"/>
  <c r="C359" i="40" s="1"/>
  <c r="A440" i="15"/>
  <c r="A441" i="15"/>
  <c r="C352" i="40" s="1"/>
  <c r="A442" i="15"/>
  <c r="A443" i="15"/>
  <c r="C354" i="40" s="1"/>
  <c r="A444" i="15"/>
  <c r="A416" i="15"/>
  <c r="C327" i="40" s="1"/>
  <c r="A417" i="15"/>
  <c r="A418" i="15"/>
  <c r="A477" i="14" s="1"/>
  <c r="A448" i="31" s="1"/>
  <c r="A419" i="15"/>
  <c r="A420" i="15"/>
  <c r="C331" i="40" s="1"/>
  <c r="A421" i="15"/>
  <c r="A422" i="15"/>
  <c r="C333" i="40" s="1"/>
  <c r="A423" i="15"/>
  <c r="A424" i="15"/>
  <c r="C335" i="40" s="1"/>
  <c r="A425" i="15"/>
  <c r="A426" i="15"/>
  <c r="C337" i="40" s="1"/>
  <c r="A427" i="15"/>
  <c r="A428" i="15"/>
  <c r="C339" i="40" s="1"/>
  <c r="A429" i="15"/>
  <c r="A430" i="15"/>
  <c r="C341" i="40" s="1"/>
  <c r="A431" i="15"/>
  <c r="A432" i="15"/>
  <c r="C343" i="40" s="1"/>
  <c r="A433" i="15"/>
  <c r="A434" i="15"/>
  <c r="C345" i="40" s="1"/>
  <c r="A435" i="15"/>
  <c r="A436" i="15"/>
  <c r="C347" i="40" s="1"/>
  <c r="A437" i="15"/>
  <c r="A438" i="15"/>
  <c r="C349" i="40" s="1"/>
  <c r="A439" i="15"/>
  <c r="A401" i="15"/>
  <c r="A402" i="15"/>
  <c r="A403" i="15"/>
  <c r="A404" i="15"/>
  <c r="A405" i="15"/>
  <c r="A406" i="15"/>
  <c r="A407" i="15"/>
  <c r="C318" i="40" s="1"/>
  <c r="A408" i="15"/>
  <c r="A409" i="15"/>
  <c r="C320" i="40" s="1"/>
  <c r="A410" i="15"/>
  <c r="A411" i="15"/>
  <c r="C322" i="40" s="1"/>
  <c r="A412" i="15"/>
  <c r="A413" i="15"/>
  <c r="C324" i="40" s="1"/>
  <c r="A414" i="15"/>
  <c r="A415" i="15"/>
  <c r="C326" i="40" s="1"/>
  <c r="A382" i="15"/>
  <c r="A383" i="15"/>
  <c r="A384" i="15"/>
  <c r="A385" i="15"/>
  <c r="A386" i="15"/>
  <c r="A387" i="15"/>
  <c r="A388" i="15"/>
  <c r="A389" i="15"/>
  <c r="A390" i="15"/>
  <c r="A391" i="15"/>
  <c r="A392" i="15"/>
  <c r="A393" i="15"/>
  <c r="A394" i="15"/>
  <c r="A395" i="15"/>
  <c r="A396" i="15"/>
  <c r="A397" i="15"/>
  <c r="A398" i="15"/>
  <c r="A399" i="15"/>
  <c r="A400" i="15"/>
  <c r="A361" i="15"/>
  <c r="A362" i="15"/>
  <c r="A363" i="15"/>
  <c r="A364" i="15"/>
  <c r="A365" i="15"/>
  <c r="A366" i="15"/>
  <c r="A367" i="15"/>
  <c r="A368" i="15"/>
  <c r="A369" i="15"/>
  <c r="A370" i="15"/>
  <c r="A371" i="15"/>
  <c r="A372" i="15"/>
  <c r="A373" i="15"/>
  <c r="A374" i="15"/>
  <c r="A375" i="15"/>
  <c r="A376" i="15"/>
  <c r="A377" i="15"/>
  <c r="A378" i="15"/>
  <c r="A379" i="15"/>
  <c r="A380" i="15"/>
  <c r="A381" i="15"/>
  <c r="A234" i="15"/>
  <c r="C145" i="40" s="1"/>
  <c r="A235" i="15"/>
  <c r="C146" i="40" s="1"/>
  <c r="A236" i="15"/>
  <c r="C147" i="40" s="1"/>
  <c r="A237" i="15"/>
  <c r="C148" i="40" s="1"/>
  <c r="A238" i="15"/>
  <c r="C149" i="40" s="1"/>
  <c r="A239" i="15"/>
  <c r="C150" i="40" s="1"/>
  <c r="A240" i="15"/>
  <c r="C151" i="40" s="1"/>
  <c r="A241" i="15"/>
  <c r="C152" i="40" s="1"/>
  <c r="A242" i="15"/>
  <c r="C153" i="40" s="1"/>
  <c r="A243" i="15"/>
  <c r="C154" i="40" s="1"/>
  <c r="A244" i="15"/>
  <c r="C155" i="40" s="1"/>
  <c r="A245" i="15"/>
  <c r="C156" i="40" s="1"/>
  <c r="A246" i="15"/>
  <c r="C157" i="40" s="1"/>
  <c r="A247" i="15"/>
  <c r="C158" i="40" s="1"/>
  <c r="A248" i="15"/>
  <c r="C159" i="40" s="1"/>
  <c r="A249" i="15"/>
  <c r="C160" i="40" s="1"/>
  <c r="A250" i="15"/>
  <c r="C161" i="40" s="1"/>
  <c r="A251" i="15"/>
  <c r="C162" i="40" s="1"/>
  <c r="A252" i="15"/>
  <c r="C163" i="40" s="1"/>
  <c r="A253" i="15"/>
  <c r="C164" i="40" s="1"/>
  <c r="A254" i="15"/>
  <c r="C165" i="40" s="1"/>
  <c r="A255" i="15"/>
  <c r="C166" i="40" s="1"/>
  <c r="A256" i="15"/>
  <c r="C167" i="40" s="1"/>
  <c r="A257" i="15"/>
  <c r="C168" i="40" s="1"/>
  <c r="A258" i="15"/>
  <c r="C169" i="40" s="1"/>
  <c r="A259" i="15"/>
  <c r="C170" i="40" s="1"/>
  <c r="A260" i="15"/>
  <c r="C171" i="40" s="1"/>
  <c r="A261" i="15"/>
  <c r="C172" i="40" s="1"/>
  <c r="A262" i="15"/>
  <c r="C173" i="40" s="1"/>
  <c r="A263" i="15"/>
  <c r="C174" i="40" s="1"/>
  <c r="A264" i="15"/>
  <c r="C175" i="40" s="1"/>
  <c r="A265" i="15"/>
  <c r="C176" i="40" s="1"/>
  <c r="A266" i="15"/>
  <c r="C177" i="40" s="1"/>
  <c r="A267" i="15"/>
  <c r="C178" i="40" s="1"/>
  <c r="A268" i="15"/>
  <c r="C179" i="40" s="1"/>
  <c r="A269" i="15"/>
  <c r="C180" i="40" s="1"/>
  <c r="A270" i="15"/>
  <c r="C181" i="40" s="1"/>
  <c r="A271" i="15"/>
  <c r="C182" i="40" s="1"/>
  <c r="A272" i="15"/>
  <c r="C183" i="40" s="1"/>
  <c r="A273" i="15"/>
  <c r="C184" i="40" s="1"/>
  <c r="A274" i="15"/>
  <c r="C185" i="40" s="1"/>
  <c r="A275" i="15"/>
  <c r="C186" i="40" s="1"/>
  <c r="A276" i="15"/>
  <c r="A277" i="15"/>
  <c r="A278" i="15"/>
  <c r="A279" i="15"/>
  <c r="A280" i="15"/>
  <c r="A281" i="15"/>
  <c r="A282" i="15"/>
  <c r="A283" i="15"/>
  <c r="A284" i="15"/>
  <c r="A285" i="15"/>
  <c r="A286" i="15"/>
  <c r="A287" i="15"/>
  <c r="A288" i="15"/>
  <c r="A289" i="15"/>
  <c r="A290" i="15"/>
  <c r="A291" i="15"/>
  <c r="A292" i="15"/>
  <c r="A293" i="15"/>
  <c r="A294" i="15"/>
  <c r="A295" i="15"/>
  <c r="A296" i="15"/>
  <c r="A297" i="15"/>
  <c r="A298" i="15"/>
  <c r="A299" i="15"/>
  <c r="A300" i="15"/>
  <c r="A301" i="15"/>
  <c r="A302" i="15"/>
  <c r="A303" i="15"/>
  <c r="A304" i="15"/>
  <c r="A305" i="15"/>
  <c r="A306" i="15"/>
  <c r="A307" i="15"/>
  <c r="A308" i="15"/>
  <c r="A309" i="15"/>
  <c r="A310" i="15"/>
  <c r="A311" i="15"/>
  <c r="A312" i="15"/>
  <c r="A313" i="15"/>
  <c r="A314" i="15"/>
  <c r="A315" i="15"/>
  <c r="A316" i="15"/>
  <c r="A317" i="15"/>
  <c r="A318" i="15"/>
  <c r="A319" i="15"/>
  <c r="A320" i="15"/>
  <c r="A321" i="15"/>
  <c r="A322" i="15"/>
  <c r="A323" i="15"/>
  <c r="A324" i="15"/>
  <c r="A325" i="15"/>
  <c r="A326" i="15"/>
  <c r="A327" i="15"/>
  <c r="A328" i="15"/>
  <c r="A329" i="15"/>
  <c r="A330" i="15"/>
  <c r="A331" i="15"/>
  <c r="A332" i="15"/>
  <c r="A333" i="15"/>
  <c r="A334" i="15"/>
  <c r="A335" i="15"/>
  <c r="A336" i="15"/>
  <c r="A337" i="15"/>
  <c r="A338" i="15"/>
  <c r="A339" i="15"/>
  <c r="A340" i="15"/>
  <c r="A341" i="15"/>
  <c r="A342" i="15"/>
  <c r="A343" i="15"/>
  <c r="A344" i="15"/>
  <c r="A345" i="15"/>
  <c r="A346" i="15"/>
  <c r="A347" i="15"/>
  <c r="A348" i="15"/>
  <c r="A349" i="15"/>
  <c r="A350" i="15"/>
  <c r="A351" i="15"/>
  <c r="A352" i="15"/>
  <c r="A353" i="15"/>
  <c r="A354" i="15"/>
  <c r="A355" i="15"/>
  <c r="A356" i="15"/>
  <c r="A357" i="15"/>
  <c r="A358" i="15"/>
  <c r="A359" i="15"/>
  <c r="A360" i="15"/>
  <c r="A233" i="15"/>
  <c r="C144" i="40" s="1"/>
  <c r="A510" i="14" l="1"/>
  <c r="A481" i="31" s="1"/>
  <c r="A502" i="14"/>
  <c r="A473" i="31" s="1"/>
  <c r="A474" i="14"/>
  <c r="A445" i="31" s="1"/>
  <c r="A470" i="14"/>
  <c r="A441" i="31" s="1"/>
  <c r="A466" i="14"/>
  <c r="A437" i="31" s="1"/>
  <c r="A508" i="14"/>
  <c r="A479" i="31" s="1"/>
  <c r="A500" i="14"/>
  <c r="A471" i="31" s="1"/>
  <c r="A472" i="14"/>
  <c r="A443" i="31" s="1"/>
  <c r="A468" i="14"/>
  <c r="A439" i="31" s="1"/>
  <c r="C329" i="40"/>
  <c r="C271" i="40"/>
  <c r="A419" i="14"/>
  <c r="A390" i="31" s="1"/>
  <c r="C269" i="40"/>
  <c r="A417" i="14"/>
  <c r="A388" i="31" s="1"/>
  <c r="C267" i="40"/>
  <c r="A415" i="14"/>
  <c r="A386" i="31" s="1"/>
  <c r="A413" i="14"/>
  <c r="A384" i="31" s="1"/>
  <c r="C265" i="40"/>
  <c r="C263" i="40"/>
  <c r="A411" i="14"/>
  <c r="A382" i="31" s="1"/>
  <c r="C261" i="40"/>
  <c r="A409" i="14"/>
  <c r="A380" i="31" s="1"/>
  <c r="C259" i="40"/>
  <c r="A407" i="14"/>
  <c r="A378" i="31" s="1"/>
  <c r="C257" i="40"/>
  <c r="A405" i="14"/>
  <c r="A376" i="31" s="1"/>
  <c r="C255" i="40"/>
  <c r="A403" i="14"/>
  <c r="A374" i="31" s="1"/>
  <c r="C253" i="40"/>
  <c r="A401" i="14"/>
  <c r="A372" i="31" s="1"/>
  <c r="C251" i="40"/>
  <c r="A399" i="14"/>
  <c r="A370" i="31" s="1"/>
  <c r="C249" i="40"/>
  <c r="A397" i="14"/>
  <c r="A368" i="31" s="1"/>
  <c r="C247" i="40"/>
  <c r="A395" i="14"/>
  <c r="A366" i="31" s="1"/>
  <c r="C245" i="40"/>
  <c r="A393" i="14"/>
  <c r="A364" i="31" s="1"/>
  <c r="C243" i="40"/>
  <c r="A391" i="14"/>
  <c r="A362" i="31" s="1"/>
  <c r="C241" i="40"/>
  <c r="A389" i="14"/>
  <c r="A360" i="31" s="1"/>
  <c r="C239" i="40"/>
  <c r="A387" i="14"/>
  <c r="A358" i="31" s="1"/>
  <c r="C237" i="40"/>
  <c r="A385" i="14"/>
  <c r="A356" i="31" s="1"/>
  <c r="C235" i="40"/>
  <c r="A383" i="14"/>
  <c r="A354" i="31" s="1"/>
  <c r="A381" i="14"/>
  <c r="A352" i="31" s="1"/>
  <c r="C233" i="40"/>
  <c r="C231" i="40"/>
  <c r="A379" i="14"/>
  <c r="A350" i="31" s="1"/>
  <c r="C229" i="40"/>
  <c r="A377" i="14"/>
  <c r="A348" i="31" s="1"/>
  <c r="C227" i="40"/>
  <c r="A375" i="14"/>
  <c r="A346" i="31" s="1"/>
  <c r="C225" i="40"/>
  <c r="A373" i="14"/>
  <c r="A344" i="31" s="1"/>
  <c r="C223" i="40"/>
  <c r="A371" i="14"/>
  <c r="A342" i="31" s="1"/>
  <c r="C221" i="40"/>
  <c r="A369" i="14"/>
  <c r="A340" i="31" s="1"/>
  <c r="C219" i="40"/>
  <c r="A367" i="14"/>
  <c r="A338" i="31" s="1"/>
  <c r="C217" i="40"/>
  <c r="A365" i="14"/>
  <c r="A336" i="31" s="1"/>
  <c r="C215" i="40"/>
  <c r="A363" i="14"/>
  <c r="A334" i="31" s="1"/>
  <c r="C213" i="40"/>
  <c r="A361" i="14"/>
  <c r="A332" i="31" s="1"/>
  <c r="C211" i="40"/>
  <c r="A359" i="14"/>
  <c r="A330" i="31" s="1"/>
  <c r="C209" i="40"/>
  <c r="A357" i="14"/>
  <c r="A328" i="31" s="1"/>
  <c r="C207" i="40"/>
  <c r="A355" i="14"/>
  <c r="A326" i="31" s="1"/>
  <c r="C205" i="40"/>
  <c r="A353" i="14"/>
  <c r="A324" i="31" s="1"/>
  <c r="C203" i="40"/>
  <c r="A351" i="14"/>
  <c r="A322" i="31" s="1"/>
  <c r="A349" i="14"/>
  <c r="A320" i="31" s="1"/>
  <c r="C201" i="40"/>
  <c r="C199" i="40"/>
  <c r="A347" i="14"/>
  <c r="A318" i="31" s="1"/>
  <c r="C197" i="40"/>
  <c r="A345" i="14"/>
  <c r="A316" i="31" s="1"/>
  <c r="C195" i="40"/>
  <c r="A343" i="14"/>
  <c r="A314" i="31" s="1"/>
  <c r="C193" i="40"/>
  <c r="A341" i="14"/>
  <c r="A312" i="31" s="1"/>
  <c r="C191" i="40"/>
  <c r="A339" i="14"/>
  <c r="A310" i="31" s="1"/>
  <c r="C189" i="40"/>
  <c r="A337" i="14"/>
  <c r="A308" i="31" s="1"/>
  <c r="C187" i="40"/>
  <c r="A335" i="14"/>
  <c r="A306" i="31" s="1"/>
  <c r="C291" i="40"/>
  <c r="A439" i="14"/>
  <c r="A410" i="31" s="1"/>
  <c r="C289" i="40"/>
  <c r="A437" i="14"/>
  <c r="A408" i="31" s="1"/>
  <c r="C287" i="40"/>
  <c r="A435" i="14"/>
  <c r="A406" i="31" s="1"/>
  <c r="C285" i="40"/>
  <c r="A433" i="14"/>
  <c r="A404" i="31" s="1"/>
  <c r="C283" i="40"/>
  <c r="A431" i="14"/>
  <c r="A402" i="31" s="1"/>
  <c r="C281" i="40"/>
  <c r="A429" i="14"/>
  <c r="A400" i="31" s="1"/>
  <c r="C279" i="40"/>
  <c r="A427" i="14"/>
  <c r="A398" i="31" s="1"/>
  <c r="C277" i="40"/>
  <c r="A425" i="14"/>
  <c r="A396" i="31" s="1"/>
  <c r="C275" i="40"/>
  <c r="A423" i="14"/>
  <c r="A394" i="31" s="1"/>
  <c r="C273" i="40"/>
  <c r="A421" i="14"/>
  <c r="A392" i="31" s="1"/>
  <c r="C311" i="40"/>
  <c r="A459" i="14"/>
  <c r="A430" i="31" s="1"/>
  <c r="C309" i="40"/>
  <c r="A457" i="14"/>
  <c r="A428" i="31" s="1"/>
  <c r="C307" i="40"/>
  <c r="A455" i="14"/>
  <c r="A426" i="31" s="1"/>
  <c r="C305" i="40"/>
  <c r="A453" i="14"/>
  <c r="A424" i="31" s="1"/>
  <c r="C303" i="40"/>
  <c r="A451" i="14"/>
  <c r="A422" i="31" s="1"/>
  <c r="C301" i="40"/>
  <c r="A449" i="14"/>
  <c r="A420" i="31" s="1"/>
  <c r="C299" i="40"/>
  <c r="A447" i="14"/>
  <c r="A418" i="31" s="1"/>
  <c r="A445" i="14"/>
  <c r="A416" i="31" s="1"/>
  <c r="C297" i="40"/>
  <c r="C295" i="40"/>
  <c r="A443" i="14"/>
  <c r="A414" i="31" s="1"/>
  <c r="C293" i="40"/>
  <c r="A441" i="14"/>
  <c r="A412" i="31" s="1"/>
  <c r="C325" i="40"/>
  <c r="A473" i="14"/>
  <c r="A444" i="31" s="1"/>
  <c r="C323" i="40"/>
  <c r="A471" i="14"/>
  <c r="A442" i="31" s="1"/>
  <c r="C321" i="40"/>
  <c r="A469" i="14"/>
  <c r="A440" i="31" s="1"/>
  <c r="C319" i="40"/>
  <c r="A467" i="14"/>
  <c r="A438" i="31" s="1"/>
  <c r="C317" i="40"/>
  <c r="A465" i="14"/>
  <c r="A436" i="31" s="1"/>
  <c r="C315" i="40"/>
  <c r="A463" i="14"/>
  <c r="A434" i="31" s="1"/>
  <c r="C313" i="40"/>
  <c r="A461" i="14"/>
  <c r="A432" i="31" s="1"/>
  <c r="C350" i="40"/>
  <c r="A498" i="14"/>
  <c r="A469" i="31" s="1"/>
  <c r="C348" i="40"/>
  <c r="A496" i="14"/>
  <c r="A467" i="31" s="1"/>
  <c r="C346" i="40"/>
  <c r="A494" i="14"/>
  <c r="A465" i="31" s="1"/>
  <c r="C344" i="40"/>
  <c r="A492" i="14"/>
  <c r="A463" i="31" s="1"/>
  <c r="C342" i="40"/>
  <c r="A490" i="14"/>
  <c r="A461" i="31" s="1"/>
  <c r="C340" i="40"/>
  <c r="A488" i="14"/>
  <c r="A459" i="31" s="1"/>
  <c r="C338" i="40"/>
  <c r="A486" i="14"/>
  <c r="A457" i="31" s="1"/>
  <c r="C336" i="40"/>
  <c r="A484" i="14"/>
  <c r="A455" i="31" s="1"/>
  <c r="C334" i="40"/>
  <c r="A482" i="14"/>
  <c r="A453" i="31" s="1"/>
  <c r="C332" i="40"/>
  <c r="A480" i="14"/>
  <c r="A451" i="31" s="1"/>
  <c r="C330" i="40"/>
  <c r="A478" i="14"/>
  <c r="A449" i="31" s="1"/>
  <c r="C328" i="40"/>
  <c r="A476" i="14"/>
  <c r="A447" i="31" s="1"/>
  <c r="A503" i="14"/>
  <c r="A474" i="31" s="1"/>
  <c r="C355" i="40"/>
  <c r="C353" i="40"/>
  <c r="A501" i="14"/>
  <c r="A472" i="31" s="1"/>
  <c r="C351" i="40"/>
  <c r="A499" i="14"/>
  <c r="A470" i="31" s="1"/>
  <c r="C358" i="40"/>
  <c r="A506" i="14"/>
  <c r="A477" i="31" s="1"/>
  <c r="C356" i="40"/>
  <c r="A504" i="14"/>
  <c r="A475" i="31" s="1"/>
  <c r="C361" i="40"/>
  <c r="A509" i="14"/>
  <c r="A480" i="31" s="1"/>
  <c r="C270" i="40"/>
  <c r="A418" i="14"/>
  <c r="A389" i="31" s="1"/>
  <c r="C268" i="40"/>
  <c r="A416" i="14"/>
  <c r="A387" i="31" s="1"/>
  <c r="C266" i="40"/>
  <c r="A414" i="14"/>
  <c r="A385" i="31" s="1"/>
  <c r="C264" i="40"/>
  <c r="A412" i="14"/>
  <c r="A383" i="31" s="1"/>
  <c r="C262" i="40"/>
  <c r="A410" i="14"/>
  <c r="A381" i="31" s="1"/>
  <c r="C260" i="40"/>
  <c r="A408" i="14"/>
  <c r="A379" i="31" s="1"/>
  <c r="C258" i="40"/>
  <c r="A406" i="14"/>
  <c r="A377" i="31" s="1"/>
  <c r="C256" i="40"/>
  <c r="A404" i="14"/>
  <c r="A375" i="31" s="1"/>
  <c r="C254" i="40"/>
  <c r="A402" i="14"/>
  <c r="A373" i="31" s="1"/>
  <c r="C252" i="40"/>
  <c r="A400" i="14"/>
  <c r="A371" i="31" s="1"/>
  <c r="C250" i="40"/>
  <c r="A398" i="14"/>
  <c r="A369" i="31" s="1"/>
  <c r="C248" i="40"/>
  <c r="A396" i="14"/>
  <c r="A367" i="31" s="1"/>
  <c r="C246" i="40"/>
  <c r="A394" i="14"/>
  <c r="A365" i="31" s="1"/>
  <c r="C244" i="40"/>
  <c r="A392" i="14"/>
  <c r="A363" i="31" s="1"/>
  <c r="C242" i="40"/>
  <c r="A390" i="14"/>
  <c r="A361" i="31" s="1"/>
  <c r="C240" i="40"/>
  <c r="A388" i="14"/>
  <c r="A359" i="31" s="1"/>
  <c r="C238" i="40"/>
  <c r="A386" i="14"/>
  <c r="A357" i="31" s="1"/>
  <c r="C236" i="40"/>
  <c r="A384" i="14"/>
  <c r="A355" i="31" s="1"/>
  <c r="C234" i="40"/>
  <c r="A382" i="14"/>
  <c r="A353" i="31" s="1"/>
  <c r="C232" i="40"/>
  <c r="A380" i="14"/>
  <c r="A351" i="31" s="1"/>
  <c r="C230" i="40"/>
  <c r="A378" i="14"/>
  <c r="A349" i="31" s="1"/>
  <c r="C228" i="40"/>
  <c r="A376" i="14"/>
  <c r="A347" i="31" s="1"/>
  <c r="C226" i="40"/>
  <c r="A374" i="14"/>
  <c r="A345" i="31" s="1"/>
  <c r="C224" i="40"/>
  <c r="A372" i="14"/>
  <c r="A343" i="31" s="1"/>
  <c r="C222" i="40"/>
  <c r="A370" i="14"/>
  <c r="A341" i="31" s="1"/>
  <c r="C220" i="40"/>
  <c r="A368" i="14"/>
  <c r="A339" i="31" s="1"/>
  <c r="C218" i="40"/>
  <c r="A366" i="14"/>
  <c r="A337" i="31" s="1"/>
  <c r="C216" i="40"/>
  <c r="A364" i="14"/>
  <c r="A335" i="31" s="1"/>
  <c r="C214" i="40"/>
  <c r="A362" i="14"/>
  <c r="A333" i="31" s="1"/>
  <c r="C212" i="40"/>
  <c r="A360" i="14"/>
  <c r="A331" i="31" s="1"/>
  <c r="C210" i="40"/>
  <c r="A358" i="14"/>
  <c r="A329" i="31" s="1"/>
  <c r="C208" i="40"/>
  <c r="A356" i="14"/>
  <c r="A327" i="31" s="1"/>
  <c r="C206" i="40"/>
  <c r="A354" i="14"/>
  <c r="A325" i="31" s="1"/>
  <c r="C204" i="40"/>
  <c r="A352" i="14"/>
  <c r="A323" i="31" s="1"/>
  <c r="C202" i="40"/>
  <c r="A350" i="14"/>
  <c r="A321" i="31" s="1"/>
  <c r="C200" i="40"/>
  <c r="A348" i="14"/>
  <c r="A319" i="31" s="1"/>
  <c r="C198" i="40"/>
  <c r="A346" i="14"/>
  <c r="A317" i="31" s="1"/>
  <c r="C196" i="40"/>
  <c r="A344" i="14"/>
  <c r="A315" i="31" s="1"/>
  <c r="C194" i="40"/>
  <c r="A342" i="14"/>
  <c r="A313" i="31" s="1"/>
  <c r="C192" i="40"/>
  <c r="A340" i="14"/>
  <c r="A311" i="31" s="1"/>
  <c r="C190" i="40"/>
  <c r="A338" i="14"/>
  <c r="A309" i="31" s="1"/>
  <c r="C188" i="40"/>
  <c r="A336" i="14"/>
  <c r="A307" i="31" s="1"/>
  <c r="C292" i="40"/>
  <c r="A440" i="14"/>
  <c r="A411" i="31" s="1"/>
  <c r="C290" i="40"/>
  <c r="A438" i="14"/>
  <c r="A409" i="31" s="1"/>
  <c r="C288" i="40"/>
  <c r="A436" i="14"/>
  <c r="A407" i="31" s="1"/>
  <c r="C286" i="40"/>
  <c r="A434" i="14"/>
  <c r="A405" i="31" s="1"/>
  <c r="C284" i="40"/>
  <c r="A432" i="14"/>
  <c r="A403" i="31" s="1"/>
  <c r="C282" i="40"/>
  <c r="A430" i="14"/>
  <c r="A401" i="31" s="1"/>
  <c r="C280" i="40"/>
  <c r="A428" i="14"/>
  <c r="A399" i="31" s="1"/>
  <c r="C278" i="40"/>
  <c r="A426" i="14"/>
  <c r="A397" i="31" s="1"/>
  <c r="C276" i="40"/>
  <c r="A424" i="14"/>
  <c r="A395" i="31" s="1"/>
  <c r="C274" i="40"/>
  <c r="A422" i="14"/>
  <c r="A393" i="31" s="1"/>
  <c r="C272" i="40"/>
  <c r="A420" i="14"/>
  <c r="A391" i="31" s="1"/>
  <c r="C310" i="40"/>
  <c r="A458" i="14"/>
  <c r="A429" i="31" s="1"/>
  <c r="C308" i="40"/>
  <c r="A456" i="14"/>
  <c r="A427" i="31" s="1"/>
  <c r="C306" i="40"/>
  <c r="A454" i="14"/>
  <c r="A425" i="31" s="1"/>
  <c r="C304" i="40"/>
  <c r="A452" i="14"/>
  <c r="A423" i="31" s="1"/>
  <c r="C302" i="40"/>
  <c r="A450" i="14"/>
  <c r="A421" i="31" s="1"/>
  <c r="C300" i="40"/>
  <c r="A448" i="14"/>
  <c r="A419" i="31" s="1"/>
  <c r="C298" i="40"/>
  <c r="A446" i="14"/>
  <c r="A417" i="31" s="1"/>
  <c r="C296" i="40"/>
  <c r="A444" i="14"/>
  <c r="A415" i="31" s="1"/>
  <c r="C294" i="40"/>
  <c r="A442" i="14"/>
  <c r="A413" i="31" s="1"/>
  <c r="C316" i="40"/>
  <c r="A464" i="14"/>
  <c r="A435" i="31" s="1"/>
  <c r="C314" i="40"/>
  <c r="A462" i="14"/>
  <c r="A433" i="31" s="1"/>
  <c r="C312" i="40"/>
  <c r="A460" i="14"/>
  <c r="A431" i="31" s="1"/>
  <c r="A507" i="14"/>
  <c r="A478" i="31" s="1"/>
  <c r="A505" i="14"/>
  <c r="A476" i="31" s="1"/>
  <c r="A497" i="14"/>
  <c r="A468" i="31" s="1"/>
  <c r="A495" i="14"/>
  <c r="A466" i="31" s="1"/>
  <c r="A493" i="14"/>
  <c r="A464" i="31" s="1"/>
  <c r="A491" i="14"/>
  <c r="A462" i="31" s="1"/>
  <c r="A489" i="14"/>
  <c r="A460" i="31" s="1"/>
  <c r="A487" i="14"/>
  <c r="A458" i="31" s="1"/>
  <c r="A485" i="14"/>
  <c r="A456" i="31" s="1"/>
  <c r="A483" i="14"/>
  <c r="A454" i="31" s="1"/>
  <c r="A481" i="14"/>
  <c r="A452" i="31" s="1"/>
  <c r="A479" i="14"/>
  <c r="A450" i="31" s="1"/>
  <c r="A475" i="14"/>
  <c r="A446" i="31" s="1"/>
  <c r="E4" i="41"/>
  <c r="E5" i="41"/>
  <c r="E6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E106" i="41"/>
  <c r="E107" i="41"/>
  <c r="E108" i="41"/>
  <c r="E109" i="41"/>
  <c r="E110" i="41"/>
  <c r="E111" i="41"/>
  <c r="E112" i="41"/>
  <c r="E113" i="41"/>
  <c r="E114" i="41"/>
  <c r="E115" i="41"/>
  <c r="E116" i="41"/>
  <c r="E117" i="41"/>
  <c r="E118" i="41"/>
  <c r="E119" i="41"/>
  <c r="E120" i="41"/>
  <c r="E121" i="41"/>
  <c r="E122" i="41"/>
  <c r="E123" i="41"/>
  <c r="E124" i="41"/>
  <c r="E125" i="41"/>
  <c r="E126" i="41"/>
  <c r="E127" i="41"/>
  <c r="E128" i="41"/>
  <c r="E129" i="41"/>
  <c r="E130" i="41"/>
  <c r="E131" i="41"/>
  <c r="E132" i="41"/>
  <c r="E133" i="41"/>
  <c r="E134" i="41"/>
  <c r="E135" i="41"/>
  <c r="E136" i="41"/>
  <c r="E137" i="41"/>
  <c r="E138" i="41"/>
  <c r="E139" i="41"/>
  <c r="E140" i="41"/>
  <c r="E141" i="41"/>
  <c r="E142" i="41"/>
  <c r="E143" i="41"/>
  <c r="E144" i="41"/>
  <c r="E145" i="41"/>
  <c r="E146" i="41"/>
  <c r="E147" i="41"/>
  <c r="E148" i="41"/>
  <c r="E149" i="41"/>
  <c r="E150" i="41"/>
  <c r="E151" i="41"/>
  <c r="E152" i="41"/>
  <c r="E153" i="41"/>
  <c r="E154" i="41"/>
  <c r="E155" i="41"/>
  <c r="E156" i="41"/>
  <c r="E157" i="41"/>
  <c r="E158" i="41"/>
  <c r="E159" i="41"/>
  <c r="E160" i="41"/>
  <c r="E161" i="41"/>
  <c r="E162" i="41"/>
  <c r="E163" i="41"/>
  <c r="E164" i="41"/>
  <c r="E165" i="41"/>
  <c r="E166" i="41"/>
  <c r="E167" i="41"/>
  <c r="E168" i="41"/>
  <c r="E169" i="41"/>
  <c r="E170" i="41"/>
  <c r="E171" i="41"/>
  <c r="E172" i="41"/>
  <c r="E173" i="41"/>
  <c r="E174" i="41"/>
  <c r="E175" i="41"/>
  <c r="E176" i="41"/>
  <c r="E177" i="41"/>
  <c r="E178" i="41"/>
  <c r="E179" i="41"/>
  <c r="E180" i="41"/>
  <c r="E181" i="41"/>
  <c r="E182" i="41"/>
  <c r="E183" i="41"/>
  <c r="E184" i="41"/>
  <c r="E185" i="41"/>
  <c r="E186" i="41"/>
  <c r="E187" i="41"/>
  <c r="E188" i="41"/>
  <c r="E189" i="41"/>
  <c r="E190" i="41"/>
  <c r="E191" i="41"/>
  <c r="E192" i="41"/>
  <c r="E193" i="41"/>
  <c r="E194" i="41"/>
  <c r="E195" i="41"/>
  <c r="E196" i="41"/>
  <c r="E197" i="41"/>
  <c r="E198" i="41"/>
  <c r="E199" i="41"/>
  <c r="E200" i="41"/>
  <c r="E201" i="41"/>
  <c r="E202" i="41"/>
  <c r="E203" i="41"/>
  <c r="E204" i="41"/>
  <c r="E205" i="41"/>
  <c r="E206" i="41"/>
  <c r="E207" i="41"/>
  <c r="E208" i="41"/>
  <c r="E209" i="41"/>
  <c r="E210" i="41"/>
  <c r="E211" i="41"/>
  <c r="E212" i="41"/>
  <c r="E213" i="41"/>
  <c r="E214" i="41"/>
  <c r="E215" i="41"/>
  <c r="E216" i="41"/>
  <c r="E217" i="41"/>
  <c r="E218" i="41"/>
  <c r="E219" i="41"/>
  <c r="E220" i="41"/>
  <c r="E221" i="41"/>
  <c r="E3" i="41"/>
  <c r="D228" i="31"/>
  <c r="E93" i="38" s="1"/>
  <c r="C259" i="14"/>
  <c r="C228" i="31" s="1"/>
  <c r="E259" i="14"/>
  <c r="F259" i="14" s="1"/>
  <c r="F228" i="31" s="1"/>
  <c r="A259" i="14"/>
  <c r="C134" i="39" s="1"/>
  <c r="F210" i="15"/>
  <c r="E232" i="14"/>
  <c r="E233" i="14"/>
  <c r="E234" i="14"/>
  <c r="E231" i="14"/>
  <c r="E199" i="14"/>
  <c r="E200" i="14"/>
  <c r="E201" i="14"/>
  <c r="E202" i="14"/>
  <c r="E203" i="14"/>
  <c r="E198" i="14"/>
  <c r="E228" i="31" l="1"/>
  <c r="A228" i="31"/>
  <c r="C93" i="38" s="1"/>
  <c r="D143" i="39"/>
  <c r="F219" i="15"/>
  <c r="B268" i="14"/>
  <c r="C268" i="14"/>
  <c r="D268" i="14"/>
  <c r="E143" i="39" s="1"/>
  <c r="E268" i="14"/>
  <c r="A268" i="14"/>
  <c r="C143" i="39" s="1"/>
  <c r="F237" i="31"/>
  <c r="F268" i="14" s="1"/>
  <c r="D178" i="14"/>
  <c r="D179" i="14"/>
  <c r="E132" i="15" s="1"/>
  <c r="D177" i="14"/>
  <c r="A219" i="15" l="1"/>
  <c r="C103" i="40" s="1"/>
  <c r="F132" i="15"/>
  <c r="G132" i="15" s="1"/>
  <c r="E130" i="15"/>
  <c r="E131" i="15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C380" i="38"/>
  <c r="C381" i="38"/>
  <c r="C382" i="38"/>
  <c r="C383" i="38"/>
  <c r="C384" i="38"/>
  <c r="C385" i="38"/>
  <c r="C386" i="38"/>
  <c r="C387" i="38"/>
  <c r="C388" i="38"/>
  <c r="C389" i="38"/>
  <c r="C390" i="38"/>
  <c r="C391" i="38"/>
  <c r="C392" i="38"/>
  <c r="C393" i="38"/>
  <c r="C394" i="38"/>
  <c r="C395" i="38"/>
  <c r="C396" i="38"/>
  <c r="C397" i="38"/>
  <c r="C398" i="38"/>
  <c r="C399" i="38"/>
  <c r="C400" i="38"/>
  <c r="C401" i="38"/>
  <c r="C402" i="38"/>
  <c r="C403" i="38"/>
  <c r="C404" i="38"/>
  <c r="C405" i="38"/>
  <c r="C406" i="38"/>
  <c r="C407" i="38"/>
  <c r="C408" i="38"/>
  <c r="C409" i="38"/>
  <c r="C410" i="38"/>
  <c r="C411" i="38"/>
  <c r="C412" i="38"/>
  <c r="C413" i="38"/>
  <c r="C414" i="38"/>
  <c r="C415" i="38"/>
  <c r="C416" i="38"/>
  <c r="C417" i="38"/>
  <c r="C418" i="38"/>
  <c r="C419" i="38"/>
  <c r="C420" i="38"/>
  <c r="C421" i="38"/>
  <c r="C422" i="38"/>
  <c r="C423" i="38"/>
  <c r="D142" i="38"/>
  <c r="D143" i="38"/>
  <c r="E218" i="31"/>
  <c r="D230" i="31"/>
  <c r="E95" i="38" s="1"/>
  <c r="D234" i="31"/>
  <c r="E99" i="38" s="1"/>
  <c r="D235" i="31"/>
  <c r="E100" i="38" s="1"/>
  <c r="D236" i="31"/>
  <c r="E101" i="38" s="1"/>
  <c r="B218" i="31"/>
  <c r="B219" i="31"/>
  <c r="A239" i="31"/>
  <c r="C104" i="38" s="1"/>
  <c r="E199" i="31"/>
  <c r="E200" i="31"/>
  <c r="E201" i="31"/>
  <c r="E202" i="31"/>
  <c r="E198" i="31"/>
  <c r="E177" i="31"/>
  <c r="E178" i="31"/>
  <c r="E179" i="31"/>
  <c r="E180" i="31"/>
  <c r="E181" i="31"/>
  <c r="E176" i="31"/>
  <c r="E291" i="14"/>
  <c r="E262" i="31" s="1"/>
  <c r="E292" i="14"/>
  <c r="E263" i="31" s="1"/>
  <c r="E264" i="31"/>
  <c r="E265" i="31"/>
  <c r="E266" i="31"/>
  <c r="E267" i="31"/>
  <c r="E268" i="31"/>
  <c r="E269" i="31"/>
  <c r="E270" i="31"/>
  <c r="E271" i="31"/>
  <c r="E272" i="31"/>
  <c r="E273" i="31"/>
  <c r="E274" i="31"/>
  <c r="E275" i="31"/>
  <c r="E276" i="31"/>
  <c r="E277" i="31"/>
  <c r="E278" i="31"/>
  <c r="E279" i="31"/>
  <c r="E280" i="31"/>
  <c r="E281" i="31"/>
  <c r="E282" i="31"/>
  <c r="E283" i="31"/>
  <c r="E284" i="31"/>
  <c r="E285" i="31"/>
  <c r="E286" i="31"/>
  <c r="E287" i="31"/>
  <c r="E288" i="31"/>
  <c r="E289" i="31"/>
  <c r="E290" i="31"/>
  <c r="E291" i="31"/>
  <c r="E292" i="31"/>
  <c r="E293" i="31"/>
  <c r="E294" i="31"/>
  <c r="E295" i="31"/>
  <c r="E296" i="31"/>
  <c r="E297" i="31"/>
  <c r="E298" i="31"/>
  <c r="E299" i="31"/>
  <c r="E300" i="31"/>
  <c r="E301" i="31"/>
  <c r="E302" i="31"/>
  <c r="E303" i="31"/>
  <c r="E304" i="31"/>
  <c r="E305" i="31"/>
  <c r="E290" i="14"/>
  <c r="A333" i="14"/>
  <c r="A304" i="31" s="1"/>
  <c r="C185" i="38" s="1"/>
  <c r="A334" i="14"/>
  <c r="A305" i="31" s="1"/>
  <c r="C186" i="38" s="1"/>
  <c r="A330" i="14"/>
  <c r="A301" i="31" s="1"/>
  <c r="C182" i="38" s="1"/>
  <c r="A331" i="14"/>
  <c r="A302" i="31" s="1"/>
  <c r="C183" i="38" s="1"/>
  <c r="A332" i="14"/>
  <c r="A303" i="31" s="1"/>
  <c r="C184" i="38" s="1"/>
  <c r="A291" i="14"/>
  <c r="A262" i="31" s="1"/>
  <c r="C143" i="38" s="1"/>
  <c r="A292" i="14"/>
  <c r="A263" i="31" s="1"/>
  <c r="A293" i="14"/>
  <c r="A264" i="31" s="1"/>
  <c r="A294" i="14"/>
  <c r="A265" i="31" s="1"/>
  <c r="A295" i="14"/>
  <c r="A266" i="31" s="1"/>
  <c r="A296" i="14"/>
  <c r="A267" i="31" s="1"/>
  <c r="A297" i="14"/>
  <c r="A268" i="31" s="1"/>
  <c r="A298" i="14"/>
  <c r="A269" i="31" s="1"/>
  <c r="A299" i="14"/>
  <c r="A270" i="31" s="1"/>
  <c r="A300" i="14"/>
  <c r="A271" i="31" s="1"/>
  <c r="A301" i="14"/>
  <c r="A272" i="31" s="1"/>
  <c r="A302" i="14"/>
  <c r="A273" i="31" s="1"/>
  <c r="A303" i="14"/>
  <c r="A274" i="31" s="1"/>
  <c r="A304" i="14"/>
  <c r="A275" i="31" s="1"/>
  <c r="A305" i="14"/>
  <c r="A276" i="31" s="1"/>
  <c r="A306" i="14"/>
  <c r="A277" i="31" s="1"/>
  <c r="A307" i="14"/>
  <c r="A278" i="31" s="1"/>
  <c r="A308" i="14"/>
  <c r="A279" i="31" s="1"/>
  <c r="A309" i="14"/>
  <c r="A280" i="31" s="1"/>
  <c r="A310" i="14"/>
  <c r="A281" i="31" s="1"/>
  <c r="A311" i="14"/>
  <c r="A282" i="31" s="1"/>
  <c r="A312" i="14"/>
  <c r="A283" i="31" s="1"/>
  <c r="A313" i="14"/>
  <c r="A284" i="31" s="1"/>
  <c r="A314" i="14"/>
  <c r="A285" i="31" s="1"/>
  <c r="A315" i="14"/>
  <c r="A286" i="31" s="1"/>
  <c r="A316" i="14"/>
  <c r="A287" i="31" s="1"/>
  <c r="A317" i="14"/>
  <c r="A288" i="31" s="1"/>
  <c r="A318" i="14"/>
  <c r="A289" i="31" s="1"/>
  <c r="A319" i="14"/>
  <c r="A290" i="31" s="1"/>
  <c r="A320" i="14"/>
  <c r="A291" i="31" s="1"/>
  <c r="A321" i="14"/>
  <c r="A292" i="31" s="1"/>
  <c r="A322" i="14"/>
  <c r="A293" i="31" s="1"/>
  <c r="A323" i="14"/>
  <c r="A294" i="31" s="1"/>
  <c r="A324" i="14"/>
  <c r="A295" i="31" s="1"/>
  <c r="A325" i="14"/>
  <c r="A296" i="31" s="1"/>
  <c r="A326" i="14"/>
  <c r="A297" i="31" s="1"/>
  <c r="A327" i="14"/>
  <c r="A298" i="31" s="1"/>
  <c r="A328" i="14"/>
  <c r="A299" i="31" s="1"/>
  <c r="A329" i="14"/>
  <c r="A300" i="31" s="1"/>
  <c r="C181" i="38" s="1"/>
  <c r="A290" i="14"/>
  <c r="E261" i="14"/>
  <c r="E230" i="31" s="1"/>
  <c r="E262" i="14"/>
  <c r="E231" i="31" s="1"/>
  <c r="E263" i="14"/>
  <c r="E232" i="31" s="1"/>
  <c r="E264" i="14"/>
  <c r="E233" i="31" s="1"/>
  <c r="E265" i="14"/>
  <c r="E234" i="31" s="1"/>
  <c r="E266" i="14"/>
  <c r="E235" i="31" s="1"/>
  <c r="E267" i="14"/>
  <c r="E236" i="31" s="1"/>
  <c r="E269" i="14"/>
  <c r="E238" i="31" s="1"/>
  <c r="E260" i="14"/>
  <c r="E229" i="31" s="1"/>
  <c r="D269" i="14"/>
  <c r="D264" i="14"/>
  <c r="D263" i="14"/>
  <c r="D262" i="14"/>
  <c r="D260" i="14"/>
  <c r="D258" i="14"/>
  <c r="D257" i="14"/>
  <c r="D256" i="14"/>
  <c r="D255" i="14"/>
  <c r="D254" i="14"/>
  <c r="D253" i="14"/>
  <c r="D252" i="14"/>
  <c r="D251" i="14"/>
  <c r="D250" i="14"/>
  <c r="E251" i="14"/>
  <c r="E220" i="31" s="1"/>
  <c r="E252" i="14"/>
  <c r="E221" i="31" s="1"/>
  <c r="E253" i="14"/>
  <c r="E222" i="31" s="1"/>
  <c r="E254" i="14"/>
  <c r="E223" i="31" s="1"/>
  <c r="E255" i="14"/>
  <c r="E224" i="31" s="1"/>
  <c r="E256" i="14"/>
  <c r="E225" i="31" s="1"/>
  <c r="E257" i="14"/>
  <c r="E226" i="31" s="1"/>
  <c r="E258" i="14"/>
  <c r="E227" i="31" s="1"/>
  <c r="E250" i="14"/>
  <c r="E219" i="31" s="1"/>
  <c r="A250" i="14"/>
  <c r="A251" i="14"/>
  <c r="A252" i="14"/>
  <c r="A253" i="14"/>
  <c r="A254" i="14"/>
  <c r="A255" i="14"/>
  <c r="A256" i="14"/>
  <c r="A257" i="14"/>
  <c r="A258" i="14"/>
  <c r="A260" i="14"/>
  <c r="A261" i="14"/>
  <c r="A262" i="14"/>
  <c r="A263" i="14"/>
  <c r="A264" i="14"/>
  <c r="A265" i="14"/>
  <c r="A266" i="14"/>
  <c r="A267" i="14"/>
  <c r="A269" i="14"/>
  <c r="A249" i="14"/>
  <c r="A218" i="31" s="1"/>
  <c r="B167" i="14"/>
  <c r="H167" i="14" s="1"/>
  <c r="B168" i="14"/>
  <c r="H168" i="14" s="1"/>
  <c r="B169" i="14"/>
  <c r="H169" i="14" s="1"/>
  <c r="B166" i="14"/>
  <c r="H166" i="14" s="1"/>
  <c r="B25" i="14"/>
  <c r="H25" i="14" s="1"/>
  <c r="B24" i="14"/>
  <c r="H24" i="14" s="1"/>
  <c r="C142" i="40"/>
  <c r="F200" i="15"/>
  <c r="D205" i="15"/>
  <c r="E89" i="40" s="1"/>
  <c r="H144" i="15"/>
  <c r="H143" i="15"/>
  <c r="H142" i="15"/>
  <c r="H141" i="15"/>
  <c r="H25" i="15"/>
  <c r="H24" i="15"/>
  <c r="A235" i="31" l="1"/>
  <c r="C100" i="38" s="1"/>
  <c r="C141" i="39"/>
  <c r="A233" i="31"/>
  <c r="C98" i="38" s="1"/>
  <c r="C139" i="39"/>
  <c r="A231" i="31"/>
  <c r="C96" i="38" s="1"/>
  <c r="C137" i="39"/>
  <c r="A229" i="31"/>
  <c r="C94" i="38" s="1"/>
  <c r="C135" i="39"/>
  <c r="A226" i="31"/>
  <c r="C91" i="38" s="1"/>
  <c r="C132" i="39"/>
  <c r="A224" i="31"/>
  <c r="C89" i="38" s="1"/>
  <c r="C130" i="39"/>
  <c r="A222" i="31"/>
  <c r="C87" i="38" s="1"/>
  <c r="C128" i="39"/>
  <c r="A220" i="31"/>
  <c r="C126" i="39"/>
  <c r="D220" i="31"/>
  <c r="E126" i="39"/>
  <c r="D222" i="31"/>
  <c r="E87" i="38" s="1"/>
  <c r="E128" i="39"/>
  <c r="D224" i="31"/>
  <c r="E89" i="38" s="1"/>
  <c r="E130" i="39"/>
  <c r="D226" i="31"/>
  <c r="E91" i="38" s="1"/>
  <c r="E132" i="39"/>
  <c r="D229" i="31"/>
  <c r="E94" i="38" s="1"/>
  <c r="E135" i="39"/>
  <c r="D232" i="31"/>
  <c r="E97" i="38" s="1"/>
  <c r="E138" i="39"/>
  <c r="A261" i="31"/>
  <c r="C142" i="38" s="1"/>
  <c r="C181" i="39"/>
  <c r="A236" i="31"/>
  <c r="C101" i="38" s="1"/>
  <c r="C142" i="39"/>
  <c r="A234" i="31"/>
  <c r="C99" i="38" s="1"/>
  <c r="C140" i="39"/>
  <c r="A232" i="31"/>
  <c r="C97" i="38" s="1"/>
  <c r="C138" i="39"/>
  <c r="A230" i="31"/>
  <c r="C95" i="38" s="1"/>
  <c r="C136" i="39"/>
  <c r="A227" i="31"/>
  <c r="C92" i="38" s="1"/>
  <c r="C133" i="39"/>
  <c r="A225" i="31"/>
  <c r="C90" i="38" s="1"/>
  <c r="C131" i="39"/>
  <c r="A223" i="31"/>
  <c r="C88" i="38" s="1"/>
  <c r="C129" i="39"/>
  <c r="A221" i="31"/>
  <c r="C86" i="38" s="1"/>
  <c r="C127" i="39"/>
  <c r="A219" i="31"/>
  <c r="C125" i="39"/>
  <c r="D219" i="31"/>
  <c r="F219" i="31" s="1"/>
  <c r="E125" i="39"/>
  <c r="D221" i="31"/>
  <c r="E86" i="38" s="1"/>
  <c r="E127" i="39"/>
  <c r="D223" i="31"/>
  <c r="E88" i="38" s="1"/>
  <c r="E129" i="39"/>
  <c r="D225" i="31"/>
  <c r="E90" i="38" s="1"/>
  <c r="E131" i="39"/>
  <c r="D227" i="31"/>
  <c r="E92" i="38" s="1"/>
  <c r="E133" i="39"/>
  <c r="D231" i="31"/>
  <c r="E96" i="38" s="1"/>
  <c r="E137" i="39"/>
  <c r="D233" i="31"/>
  <c r="E98" i="38" s="1"/>
  <c r="E139" i="39"/>
  <c r="D238" i="31"/>
  <c r="E103" i="38" s="1"/>
  <c r="E144" i="39"/>
  <c r="A238" i="31"/>
  <c r="C103" i="38" s="1"/>
  <c r="C144" i="39"/>
  <c r="F131" i="15"/>
  <c r="G131" i="15" s="1"/>
  <c r="F130" i="15"/>
  <c r="G130" i="15" s="1"/>
  <c r="E261" i="31"/>
  <c r="B26" i="31"/>
  <c r="H26" i="31" s="1"/>
  <c r="B147" i="31"/>
  <c r="H147" i="31" s="1"/>
  <c r="B149" i="31"/>
  <c r="H149" i="31" s="1"/>
  <c r="B25" i="31"/>
  <c r="H25" i="31" s="1"/>
  <c r="B150" i="31"/>
  <c r="H150" i="31" s="1"/>
  <c r="B148" i="31"/>
  <c r="H148" i="31" s="1"/>
  <c r="G133" i="15" l="1"/>
  <c r="B292" i="14"/>
  <c r="B293" i="14"/>
  <c r="B294" i="14"/>
  <c r="B295" i="14"/>
  <c r="B296" i="14"/>
  <c r="B297" i="14"/>
  <c r="B298" i="14"/>
  <c r="B299" i="14"/>
  <c r="B300" i="14"/>
  <c r="B301" i="14"/>
  <c r="B302" i="14"/>
  <c r="B303" i="14"/>
  <c r="B304" i="14"/>
  <c r="B305" i="14"/>
  <c r="B306" i="14"/>
  <c r="B307" i="14"/>
  <c r="B308" i="14"/>
  <c r="B309" i="14"/>
  <c r="B310" i="14"/>
  <c r="E221" i="15"/>
  <c r="E222" i="15"/>
  <c r="E223" i="15"/>
  <c r="E224" i="15"/>
  <c r="E271" i="14"/>
  <c r="E272" i="14"/>
  <c r="B229" i="31"/>
  <c r="B209" i="15" s="1"/>
  <c r="B230" i="31"/>
  <c r="B231" i="31"/>
  <c r="B212" i="15" s="1"/>
  <c r="B232" i="31"/>
  <c r="B213" i="15" s="1"/>
  <c r="B233" i="31"/>
  <c r="B214" i="15" s="1"/>
  <c r="B234" i="31"/>
  <c r="B215" i="15" s="1"/>
  <c r="B235" i="31"/>
  <c r="B216" i="15" s="1"/>
  <c r="B236" i="31"/>
  <c r="B217" i="15" s="1"/>
  <c r="B238" i="31"/>
  <c r="B218" i="15" s="1"/>
  <c r="B239" i="31"/>
  <c r="B240" i="31"/>
  <c r="B221" i="15" s="1"/>
  <c r="B241" i="31"/>
  <c r="B222" i="15" s="1"/>
  <c r="B242" i="31"/>
  <c r="B223" i="15" s="1"/>
  <c r="B243" i="31"/>
  <c r="B224" i="15" s="1"/>
  <c r="B227" i="31"/>
  <c r="B208" i="15" s="1"/>
  <c r="B220" i="15" l="1"/>
  <c r="B219" i="15"/>
  <c r="B211" i="15"/>
  <c r="B210" i="15"/>
  <c r="B259" i="14" s="1"/>
  <c r="B228" i="31" s="1"/>
  <c r="B158" i="15"/>
  <c r="A177" i="31"/>
  <c r="A178" i="31"/>
  <c r="A182" i="31" s="1"/>
  <c r="A179" i="31"/>
  <c r="A180" i="31"/>
  <c r="A181" i="31"/>
  <c r="A176" i="31"/>
  <c r="D144" i="15" l="1"/>
  <c r="D143" i="15"/>
  <c r="A144" i="15"/>
  <c r="A143" i="15"/>
  <c r="A142" i="15"/>
  <c r="A141" i="15"/>
  <c r="D142" i="15"/>
  <c r="D141" i="15"/>
  <c r="E141" i="15" l="1"/>
  <c r="G141" i="15" s="1"/>
  <c r="I141" i="15" s="1"/>
  <c r="E143" i="15"/>
  <c r="G143" i="15" s="1"/>
  <c r="I143" i="15" s="1"/>
  <c r="E142" i="15"/>
  <c r="G142" i="15" s="1"/>
  <c r="I142" i="15" s="1"/>
  <c r="E144" i="15"/>
  <c r="G144" i="15" s="1"/>
  <c r="I144" i="15" s="1"/>
  <c r="I145" i="15" l="1"/>
  <c r="I23" i="37" s="1"/>
  <c r="A167" i="14"/>
  <c r="A168" i="14"/>
  <c r="A169" i="14"/>
  <c r="A166" i="14"/>
  <c r="A159" i="14" l="1"/>
  <c r="A140" i="31" s="1"/>
  <c r="A14" i="14"/>
  <c r="A15" i="31" s="1"/>
  <c r="D371" i="38" l="1"/>
  <c r="D372" i="38"/>
  <c r="D373" i="38"/>
  <c r="D374" i="38"/>
  <c r="D375" i="38"/>
  <c r="D376" i="38"/>
  <c r="D377" i="38"/>
  <c r="D378" i="38"/>
  <c r="D379" i="38"/>
  <c r="D380" i="38"/>
  <c r="D381" i="38"/>
  <c r="D382" i="38"/>
  <c r="C156" i="38"/>
  <c r="C193" i="39" s="1"/>
  <c r="D193" i="39"/>
  <c r="D156" i="40" s="1"/>
  <c r="C157" i="38"/>
  <c r="C194" i="39" s="1"/>
  <c r="D194" i="39"/>
  <c r="D157" i="40" s="1"/>
  <c r="C147" i="38"/>
  <c r="C184" i="39" s="1"/>
  <c r="D184" i="39"/>
  <c r="D147" i="40" s="1"/>
  <c r="D182" i="39"/>
  <c r="D145" i="40" s="1"/>
  <c r="C145" i="38"/>
  <c r="C182" i="39" s="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G131" i="31"/>
  <c r="G132" i="31"/>
  <c r="G133" i="31"/>
  <c r="G135" i="31"/>
  <c r="G136" i="31"/>
  <c r="G137" i="31"/>
  <c r="D154" i="39" l="1"/>
  <c r="D155" i="39"/>
  <c r="D156" i="39"/>
  <c r="D157" i="39"/>
  <c r="D158" i="39"/>
  <c r="D369" i="38"/>
  <c r="D370" i="38"/>
  <c r="C111" i="38"/>
  <c r="C112" i="38"/>
  <c r="C113" i="38"/>
  <c r="C114" i="38"/>
  <c r="C115" i="38"/>
  <c r="C116" i="38"/>
  <c r="C117" i="38"/>
  <c r="C118" i="38"/>
  <c r="C108" i="38"/>
  <c r="C109" i="38"/>
  <c r="C110" i="38"/>
  <c r="C353" i="39"/>
  <c r="C355" i="39"/>
  <c r="C357" i="39"/>
  <c r="C359" i="39"/>
  <c r="C361" i="39"/>
  <c r="C363" i="39"/>
  <c r="C365" i="39"/>
  <c r="C367" i="39"/>
  <c r="C369" i="39"/>
  <c r="C371" i="39"/>
  <c r="C373" i="39"/>
  <c r="C374" i="39"/>
  <c r="C376" i="39"/>
  <c r="C377" i="39"/>
  <c r="C378" i="39"/>
  <c r="C380" i="39"/>
  <c r="C381" i="39"/>
  <c r="C382" i="39"/>
  <c r="C384" i="39"/>
  <c r="C385" i="39"/>
  <c r="C386" i="39"/>
  <c r="C388" i="39"/>
  <c r="C389" i="39"/>
  <c r="C390" i="39"/>
  <c r="C392" i="39"/>
  <c r="C393" i="39"/>
  <c r="C394" i="39"/>
  <c r="C396" i="39"/>
  <c r="C397" i="39"/>
  <c r="C398" i="39"/>
  <c r="C400" i="39"/>
  <c r="C401" i="39"/>
  <c r="C402" i="39"/>
  <c r="C365" i="40" s="1"/>
  <c r="C404" i="39"/>
  <c r="C367" i="40" s="1"/>
  <c r="C405" i="39"/>
  <c r="C368" i="40" s="1"/>
  <c r="C406" i="39"/>
  <c r="C369" i="40" s="1"/>
  <c r="C411" i="39"/>
  <c r="C374" i="40" s="1"/>
  <c r="C412" i="39"/>
  <c r="C375" i="40" s="1"/>
  <c r="C413" i="39"/>
  <c r="C376" i="40" s="1"/>
  <c r="C109" i="40"/>
  <c r="C110" i="40"/>
  <c r="C111" i="40"/>
  <c r="C112" i="40"/>
  <c r="C113" i="40"/>
  <c r="C114" i="40"/>
  <c r="C115" i="40"/>
  <c r="C116" i="40"/>
  <c r="C117" i="40"/>
  <c r="C118" i="40"/>
  <c r="C119" i="40"/>
  <c r="C145" i="39"/>
  <c r="A273" i="14"/>
  <c r="A274" i="14"/>
  <c r="A275" i="14"/>
  <c r="C150" i="39" s="1"/>
  <c r="A276" i="14"/>
  <c r="C151" i="39" s="1"/>
  <c r="A277" i="14"/>
  <c r="C152" i="39" s="1"/>
  <c r="A278" i="14"/>
  <c r="C153" i="39" s="1"/>
  <c r="A279" i="14"/>
  <c r="C154" i="39" s="1"/>
  <c r="A280" i="14"/>
  <c r="C155" i="39" s="1"/>
  <c r="A281" i="14"/>
  <c r="C156" i="39" s="1"/>
  <c r="A282" i="14"/>
  <c r="C157" i="39" s="1"/>
  <c r="A283" i="14"/>
  <c r="C158" i="39" s="1"/>
  <c r="B221" i="31"/>
  <c r="B222" i="31"/>
  <c r="B223" i="31"/>
  <c r="B224" i="31"/>
  <c r="B225" i="31"/>
  <c r="B226" i="31"/>
  <c r="B207" i="15" s="1"/>
  <c r="B220" i="31"/>
  <c r="C149" i="39" l="1"/>
  <c r="A243" i="31"/>
  <c r="C148" i="39"/>
  <c r="A242" i="31"/>
  <c r="C107" i="38" s="1"/>
  <c r="C409" i="39"/>
  <c r="C372" i="40" s="1"/>
  <c r="C410" i="39"/>
  <c r="C373" i="40" s="1"/>
  <c r="C408" i="39"/>
  <c r="C371" i="40" s="1"/>
  <c r="C403" i="39"/>
  <c r="C366" i="40" s="1"/>
  <c r="C395" i="39"/>
  <c r="C387" i="39"/>
  <c r="C379" i="39"/>
  <c r="C407" i="39"/>
  <c r="C370" i="40" s="1"/>
  <c r="C399" i="39"/>
  <c r="C391" i="39"/>
  <c r="C383" i="39"/>
  <c r="C375" i="39"/>
  <c r="C372" i="39"/>
  <c r="C366" i="39"/>
  <c r="C362" i="39"/>
  <c r="C358" i="39"/>
  <c r="C352" i="39"/>
  <c r="C370" i="39"/>
  <c r="C368" i="39"/>
  <c r="C364" i="39"/>
  <c r="C360" i="39"/>
  <c r="C356" i="39"/>
  <c r="C354" i="39"/>
  <c r="A223" i="15" l="1"/>
  <c r="A224" i="15"/>
  <c r="C108" i="40" s="1"/>
  <c r="E139" i="38"/>
  <c r="C139" i="38"/>
  <c r="C414" i="39"/>
  <c r="C377" i="40" s="1"/>
  <c r="C415" i="39"/>
  <c r="C378" i="40" s="1"/>
  <c r="C416" i="39"/>
  <c r="C379" i="40" s="1"/>
  <c r="C417" i="39"/>
  <c r="C380" i="40" s="1"/>
  <c r="C418" i="39"/>
  <c r="C381" i="40" s="1"/>
  <c r="C419" i="39"/>
  <c r="C382" i="40" s="1"/>
  <c r="A192" i="15"/>
  <c r="E241" i="14"/>
  <c r="G241" i="14" s="1"/>
  <c r="G209" i="31"/>
  <c r="C107" i="40" l="1"/>
  <c r="A272" i="14"/>
  <c r="D125" i="39"/>
  <c r="D126" i="39"/>
  <c r="D127" i="39"/>
  <c r="D128" i="39"/>
  <c r="D129" i="39"/>
  <c r="D130" i="39"/>
  <c r="D131" i="39"/>
  <c r="D132" i="39"/>
  <c r="D133" i="39"/>
  <c r="D134" i="39"/>
  <c r="D136" i="39"/>
  <c r="D137" i="39"/>
  <c r="D138" i="39"/>
  <c r="D139" i="39"/>
  <c r="D140" i="39"/>
  <c r="D141" i="39"/>
  <c r="D142" i="39"/>
  <c r="D144" i="39"/>
  <c r="D145" i="39"/>
  <c r="D146" i="39"/>
  <c r="D147" i="39"/>
  <c r="D124" i="39"/>
  <c r="D183" i="39"/>
  <c r="D146" i="40" s="1"/>
  <c r="D185" i="39"/>
  <c r="D148" i="40" s="1"/>
  <c r="D186" i="39"/>
  <c r="D149" i="40" s="1"/>
  <c r="D187" i="39"/>
  <c r="D150" i="40" s="1"/>
  <c r="D188" i="39"/>
  <c r="D151" i="40" s="1"/>
  <c r="D189" i="39"/>
  <c r="D152" i="40" s="1"/>
  <c r="D190" i="39"/>
  <c r="D153" i="40" s="1"/>
  <c r="D191" i="39"/>
  <c r="D154" i="40" s="1"/>
  <c r="D192" i="39"/>
  <c r="D155" i="40" s="1"/>
  <c r="D195" i="39"/>
  <c r="D158" i="40" s="1"/>
  <c r="D196" i="39"/>
  <c r="D159" i="40" s="1"/>
  <c r="D197" i="39"/>
  <c r="D160" i="40" s="1"/>
  <c r="D198" i="39"/>
  <c r="D161" i="40" s="1"/>
  <c r="D199" i="39"/>
  <c r="D162" i="40" s="1"/>
  <c r="D200" i="39"/>
  <c r="D163" i="40" s="1"/>
  <c r="D201" i="39"/>
  <c r="D164" i="40" s="1"/>
  <c r="D202" i="39"/>
  <c r="D165" i="40" s="1"/>
  <c r="D203" i="39"/>
  <c r="D166" i="40" s="1"/>
  <c r="D204" i="39"/>
  <c r="D167" i="40" s="1"/>
  <c r="D205" i="39"/>
  <c r="D168" i="40" s="1"/>
  <c r="D206" i="39"/>
  <c r="D169" i="40" s="1"/>
  <c r="D207" i="39"/>
  <c r="D170" i="40" s="1"/>
  <c r="D208" i="39"/>
  <c r="D171" i="40" s="1"/>
  <c r="D209" i="39"/>
  <c r="D172" i="40" s="1"/>
  <c r="D210" i="39"/>
  <c r="D173" i="40" s="1"/>
  <c r="D211" i="39"/>
  <c r="D174" i="40" s="1"/>
  <c r="D212" i="39"/>
  <c r="D175" i="40" s="1"/>
  <c r="D213" i="39"/>
  <c r="D176" i="40" s="1"/>
  <c r="D214" i="39"/>
  <c r="D177" i="40" s="1"/>
  <c r="D215" i="39"/>
  <c r="D178" i="40" s="1"/>
  <c r="D216" i="39"/>
  <c r="D179" i="40" s="1"/>
  <c r="D217" i="39"/>
  <c r="D180" i="40" s="1"/>
  <c r="D218" i="39"/>
  <c r="D181" i="40" s="1"/>
  <c r="D219" i="39"/>
  <c r="D182" i="40" s="1"/>
  <c r="D220" i="39"/>
  <c r="D183" i="40" s="1"/>
  <c r="D221" i="39"/>
  <c r="D184" i="40" s="1"/>
  <c r="D222" i="39"/>
  <c r="D185" i="40" s="1"/>
  <c r="D223" i="39"/>
  <c r="D186" i="40" s="1"/>
  <c r="D224" i="39"/>
  <c r="D187" i="40" s="1"/>
  <c r="D225" i="39"/>
  <c r="D188" i="40" s="1"/>
  <c r="D226" i="39"/>
  <c r="D189" i="40" s="1"/>
  <c r="D227" i="39"/>
  <c r="D190" i="40" s="1"/>
  <c r="D228" i="39"/>
  <c r="D191" i="40" s="1"/>
  <c r="D229" i="39"/>
  <c r="D192" i="40" s="1"/>
  <c r="D230" i="39"/>
  <c r="D193" i="40" s="1"/>
  <c r="D231" i="39"/>
  <c r="D194" i="40" s="1"/>
  <c r="D232" i="39"/>
  <c r="D195" i="40" s="1"/>
  <c r="D233" i="39"/>
  <c r="D196" i="40" s="1"/>
  <c r="D234" i="39"/>
  <c r="D197" i="40" s="1"/>
  <c r="D235" i="39"/>
  <c r="D198" i="40" s="1"/>
  <c r="D236" i="39"/>
  <c r="D199" i="40" s="1"/>
  <c r="D237" i="39"/>
  <c r="D200" i="40" s="1"/>
  <c r="D238" i="39"/>
  <c r="D201" i="40" s="1"/>
  <c r="D239" i="39"/>
  <c r="D202" i="40" s="1"/>
  <c r="D240" i="39"/>
  <c r="D203" i="40" s="1"/>
  <c r="D241" i="39"/>
  <c r="D204" i="40" s="1"/>
  <c r="D242" i="39"/>
  <c r="D205" i="40" s="1"/>
  <c r="D243" i="39"/>
  <c r="D206" i="40" s="1"/>
  <c r="D244" i="39"/>
  <c r="D207" i="40" s="1"/>
  <c r="D245" i="39"/>
  <c r="D208" i="40" s="1"/>
  <c r="D246" i="39"/>
  <c r="D209" i="40" s="1"/>
  <c r="D247" i="39"/>
  <c r="D210" i="40" s="1"/>
  <c r="D248" i="39"/>
  <c r="D211" i="40" s="1"/>
  <c r="D249" i="39"/>
  <c r="D212" i="40" s="1"/>
  <c r="D250" i="39"/>
  <c r="D213" i="40" s="1"/>
  <c r="D251" i="39"/>
  <c r="D214" i="40" s="1"/>
  <c r="D252" i="39"/>
  <c r="D215" i="40" s="1"/>
  <c r="D253" i="39"/>
  <c r="D216" i="40" s="1"/>
  <c r="D254" i="39"/>
  <c r="D217" i="40" s="1"/>
  <c r="D255" i="39"/>
  <c r="D218" i="40" s="1"/>
  <c r="D256" i="39"/>
  <c r="D219" i="40" s="1"/>
  <c r="D257" i="39"/>
  <c r="D220" i="40" s="1"/>
  <c r="D258" i="39"/>
  <c r="D221" i="40" s="1"/>
  <c r="D259" i="39"/>
  <c r="D222" i="40" s="1"/>
  <c r="D260" i="39"/>
  <c r="D223" i="40" s="1"/>
  <c r="D261" i="39"/>
  <c r="D224" i="40" s="1"/>
  <c r="D262" i="39"/>
  <c r="D225" i="40" s="1"/>
  <c r="D263" i="39"/>
  <c r="D226" i="40" s="1"/>
  <c r="D264" i="39"/>
  <c r="D227" i="40" s="1"/>
  <c r="D265" i="39"/>
  <c r="D228" i="40" s="1"/>
  <c r="D266" i="39"/>
  <c r="D229" i="40" s="1"/>
  <c r="D267" i="39"/>
  <c r="D230" i="40" s="1"/>
  <c r="D268" i="39"/>
  <c r="D231" i="40" s="1"/>
  <c r="D269" i="39"/>
  <c r="D232" i="40" s="1"/>
  <c r="D270" i="39"/>
  <c r="D233" i="40" s="1"/>
  <c r="D271" i="39"/>
  <c r="D234" i="40" s="1"/>
  <c r="D272" i="39"/>
  <c r="D235" i="40" s="1"/>
  <c r="D273" i="39"/>
  <c r="D236" i="40" s="1"/>
  <c r="D274" i="39"/>
  <c r="D237" i="40" s="1"/>
  <c r="D275" i="39"/>
  <c r="D238" i="40" s="1"/>
  <c r="D276" i="39"/>
  <c r="D239" i="40" s="1"/>
  <c r="D277" i="39"/>
  <c r="D240" i="40" s="1"/>
  <c r="D278" i="39"/>
  <c r="D241" i="40" s="1"/>
  <c r="D279" i="39"/>
  <c r="D242" i="40" s="1"/>
  <c r="D280" i="39"/>
  <c r="D243" i="40" s="1"/>
  <c r="D281" i="39"/>
  <c r="D244" i="40" s="1"/>
  <c r="D282" i="39"/>
  <c r="D245" i="40" s="1"/>
  <c r="D283" i="39"/>
  <c r="D246" i="40" s="1"/>
  <c r="D284" i="39"/>
  <c r="D247" i="40" s="1"/>
  <c r="D285" i="39"/>
  <c r="D248" i="40" s="1"/>
  <c r="D286" i="39"/>
  <c r="D249" i="40" s="1"/>
  <c r="D287" i="39"/>
  <c r="D250" i="40" s="1"/>
  <c r="D288" i="39"/>
  <c r="D251" i="40" s="1"/>
  <c r="D289" i="39"/>
  <c r="D252" i="40" s="1"/>
  <c r="D290" i="39"/>
  <c r="D253" i="40" s="1"/>
  <c r="D291" i="39"/>
  <c r="D254" i="40" s="1"/>
  <c r="D292" i="39"/>
  <c r="D255" i="40" s="1"/>
  <c r="D293" i="39"/>
  <c r="D256" i="40" s="1"/>
  <c r="D294" i="39"/>
  <c r="D257" i="40" s="1"/>
  <c r="D295" i="39"/>
  <c r="D258" i="40" s="1"/>
  <c r="D296" i="39"/>
  <c r="D259" i="40" s="1"/>
  <c r="D297" i="39"/>
  <c r="D260" i="40" s="1"/>
  <c r="D298" i="39"/>
  <c r="D261" i="40" s="1"/>
  <c r="D299" i="39"/>
  <c r="D262" i="40" s="1"/>
  <c r="D300" i="39"/>
  <c r="D263" i="40" s="1"/>
  <c r="D301" i="39"/>
  <c r="D264" i="40" s="1"/>
  <c r="D302" i="39"/>
  <c r="D265" i="40" s="1"/>
  <c r="D303" i="39"/>
  <c r="D266" i="40" s="1"/>
  <c r="D304" i="39"/>
  <c r="D267" i="40" s="1"/>
  <c r="D305" i="39"/>
  <c r="D268" i="40" s="1"/>
  <c r="D306" i="39"/>
  <c r="D269" i="40" s="1"/>
  <c r="D307" i="39"/>
  <c r="D270" i="40" s="1"/>
  <c r="D308" i="39"/>
  <c r="D271" i="40" s="1"/>
  <c r="D309" i="39"/>
  <c r="D272" i="40" s="1"/>
  <c r="D310" i="39"/>
  <c r="D273" i="40" s="1"/>
  <c r="D311" i="39"/>
  <c r="D274" i="40" s="1"/>
  <c r="D312" i="39"/>
  <c r="D275" i="40" s="1"/>
  <c r="D313" i="39"/>
  <c r="D276" i="40" s="1"/>
  <c r="D314" i="39"/>
  <c r="D277" i="40" s="1"/>
  <c r="D315" i="39"/>
  <c r="D278" i="40" s="1"/>
  <c r="D316" i="39"/>
  <c r="D279" i="40" s="1"/>
  <c r="D317" i="39"/>
  <c r="D280" i="40" s="1"/>
  <c r="D318" i="39"/>
  <c r="D281" i="40" s="1"/>
  <c r="D319" i="39"/>
  <c r="D282" i="40" s="1"/>
  <c r="D320" i="39"/>
  <c r="D283" i="40" s="1"/>
  <c r="D321" i="39"/>
  <c r="D284" i="40" s="1"/>
  <c r="D322" i="39"/>
  <c r="D285" i="40" s="1"/>
  <c r="D323" i="39"/>
  <c r="D286" i="40" s="1"/>
  <c r="D324" i="39"/>
  <c r="D287" i="40" s="1"/>
  <c r="D325" i="39"/>
  <c r="D288" i="40" s="1"/>
  <c r="D326" i="39"/>
  <c r="D289" i="40" s="1"/>
  <c r="D327" i="39"/>
  <c r="D290" i="40" s="1"/>
  <c r="D328" i="39"/>
  <c r="D291" i="40" s="1"/>
  <c r="D329" i="39"/>
  <c r="D292" i="40" s="1"/>
  <c r="D330" i="39"/>
  <c r="D293" i="40" s="1"/>
  <c r="D331" i="39"/>
  <c r="D294" i="40" s="1"/>
  <c r="D332" i="39"/>
  <c r="D295" i="40" s="1"/>
  <c r="D333" i="39"/>
  <c r="D296" i="40" s="1"/>
  <c r="D334" i="39"/>
  <c r="D297" i="40" s="1"/>
  <c r="D335" i="39"/>
  <c r="D298" i="40" s="1"/>
  <c r="D336" i="39"/>
  <c r="D299" i="40" s="1"/>
  <c r="D337" i="39"/>
  <c r="D300" i="40" s="1"/>
  <c r="D338" i="39"/>
  <c r="D301" i="40" s="1"/>
  <c r="D339" i="39"/>
  <c r="D302" i="40" s="1"/>
  <c r="D340" i="39"/>
  <c r="D303" i="40" s="1"/>
  <c r="D341" i="39"/>
  <c r="D304" i="40" s="1"/>
  <c r="D342" i="39"/>
  <c r="D305" i="40" s="1"/>
  <c r="D343" i="39"/>
  <c r="D306" i="40" s="1"/>
  <c r="D344" i="39"/>
  <c r="D307" i="40" s="1"/>
  <c r="D345" i="39"/>
  <c r="D308" i="40" s="1"/>
  <c r="D346" i="39"/>
  <c r="D309" i="40" s="1"/>
  <c r="D347" i="39"/>
  <c r="D310" i="40" s="1"/>
  <c r="D348" i="39"/>
  <c r="D311" i="40" s="1"/>
  <c r="D349" i="39"/>
  <c r="D312" i="40" s="1"/>
  <c r="D350" i="39"/>
  <c r="D313" i="40" s="1"/>
  <c r="D351" i="39"/>
  <c r="D314" i="40" s="1"/>
  <c r="D352" i="39"/>
  <c r="D315" i="40" s="1"/>
  <c r="D353" i="39"/>
  <c r="D316" i="40" s="1"/>
  <c r="D354" i="39"/>
  <c r="D317" i="40" s="1"/>
  <c r="D355" i="39"/>
  <c r="D318" i="40" s="1"/>
  <c r="D356" i="39"/>
  <c r="D319" i="40" s="1"/>
  <c r="D357" i="39"/>
  <c r="D320" i="40" s="1"/>
  <c r="D358" i="39"/>
  <c r="D321" i="40" s="1"/>
  <c r="D359" i="39"/>
  <c r="D322" i="40" s="1"/>
  <c r="D360" i="39"/>
  <c r="D323" i="40" s="1"/>
  <c r="D361" i="39"/>
  <c r="D324" i="40" s="1"/>
  <c r="D362" i="39"/>
  <c r="D325" i="40" s="1"/>
  <c r="D363" i="39"/>
  <c r="D326" i="40" s="1"/>
  <c r="D364" i="39"/>
  <c r="D327" i="40" s="1"/>
  <c r="D365" i="39"/>
  <c r="D328" i="40" s="1"/>
  <c r="D366" i="39"/>
  <c r="D329" i="40" s="1"/>
  <c r="D367" i="39"/>
  <c r="D330" i="40" s="1"/>
  <c r="D368" i="39"/>
  <c r="D331" i="40" s="1"/>
  <c r="D369" i="39"/>
  <c r="D332" i="40" s="1"/>
  <c r="D370" i="39"/>
  <c r="D333" i="40" s="1"/>
  <c r="D371" i="39"/>
  <c r="D334" i="40" s="1"/>
  <c r="D372" i="39"/>
  <c r="D335" i="40" s="1"/>
  <c r="D373" i="39"/>
  <c r="D336" i="40" s="1"/>
  <c r="D374" i="39"/>
  <c r="D337" i="40" s="1"/>
  <c r="D375" i="39"/>
  <c r="D338" i="40" s="1"/>
  <c r="D376" i="39"/>
  <c r="D339" i="40" s="1"/>
  <c r="D377" i="39"/>
  <c r="D340" i="40" s="1"/>
  <c r="D378" i="39"/>
  <c r="D341" i="40" s="1"/>
  <c r="D379" i="39"/>
  <c r="D342" i="40" s="1"/>
  <c r="D380" i="39"/>
  <c r="D343" i="40" s="1"/>
  <c r="C146" i="38"/>
  <c r="C183" i="39" s="1"/>
  <c r="C148" i="38"/>
  <c r="C185" i="39" s="1"/>
  <c r="C149" i="38"/>
  <c r="C186" i="39" s="1"/>
  <c r="C150" i="38"/>
  <c r="C187" i="39" s="1"/>
  <c r="C151" i="38"/>
  <c r="C188" i="39" s="1"/>
  <c r="C152" i="38"/>
  <c r="C189" i="39" s="1"/>
  <c r="C153" i="38"/>
  <c r="C190" i="39" s="1"/>
  <c r="C154" i="38"/>
  <c r="C191" i="39" s="1"/>
  <c r="C155" i="38"/>
  <c r="C192" i="39" s="1"/>
  <c r="C158" i="38"/>
  <c r="C195" i="39" s="1"/>
  <c r="C159" i="38"/>
  <c r="C196" i="39" s="1"/>
  <c r="C160" i="38"/>
  <c r="C197" i="39" s="1"/>
  <c r="C161" i="38"/>
  <c r="C198" i="39" s="1"/>
  <c r="C162" i="38"/>
  <c r="C199" i="39" s="1"/>
  <c r="C163" i="38"/>
  <c r="C200" i="39" s="1"/>
  <c r="C164" i="38"/>
  <c r="C201" i="39" s="1"/>
  <c r="C85" i="38"/>
  <c r="C83" i="38"/>
  <c r="C122" i="39" s="1"/>
  <c r="C83" i="40" s="1"/>
  <c r="C147" i="39" l="1"/>
  <c r="A241" i="31"/>
  <c r="C106" i="38" s="1"/>
  <c r="D152" i="39"/>
  <c r="D150" i="39"/>
  <c r="D148" i="39"/>
  <c r="D151" i="39"/>
  <c r="D153" i="39"/>
  <c r="D149" i="39"/>
  <c r="D381" i="39"/>
  <c r="D344" i="40" s="1"/>
  <c r="B311" i="14"/>
  <c r="B312" i="14"/>
  <c r="A222" i="15" l="1"/>
  <c r="C166" i="38"/>
  <c r="C203" i="39" s="1"/>
  <c r="C167" i="38"/>
  <c r="C204" i="39" s="1"/>
  <c r="C168" i="38"/>
  <c r="C205" i="39" s="1"/>
  <c r="C169" i="38"/>
  <c r="C206" i="39" s="1"/>
  <c r="C170" i="38"/>
  <c r="C207" i="39" s="1"/>
  <c r="C171" i="38"/>
  <c r="C208" i="39" s="1"/>
  <c r="C172" i="38"/>
  <c r="C209" i="39" s="1"/>
  <c r="C173" i="38"/>
  <c r="C210" i="39" s="1"/>
  <c r="C174" i="38"/>
  <c r="C211" i="39" s="1"/>
  <c r="C175" i="38"/>
  <c r="C212" i="39" s="1"/>
  <c r="C176" i="38"/>
  <c r="C213" i="39" s="1"/>
  <c r="C177" i="38"/>
  <c r="C214" i="39" s="1"/>
  <c r="C178" i="38"/>
  <c r="C215" i="39" s="1"/>
  <c r="C179" i="38"/>
  <c r="C216" i="39" s="1"/>
  <c r="C180" i="38"/>
  <c r="C217" i="39" s="1"/>
  <c r="C218" i="39"/>
  <c r="C219" i="39"/>
  <c r="C220" i="39"/>
  <c r="C221" i="39"/>
  <c r="C222" i="39"/>
  <c r="C223" i="39"/>
  <c r="C224" i="39"/>
  <c r="C225" i="39"/>
  <c r="C226" i="39"/>
  <c r="C227" i="39"/>
  <c r="C228" i="39"/>
  <c r="C229" i="39"/>
  <c r="C230" i="39"/>
  <c r="C231" i="39"/>
  <c r="C232" i="39"/>
  <c r="C233" i="39"/>
  <c r="C234" i="39"/>
  <c r="C235" i="39"/>
  <c r="C236" i="39"/>
  <c r="C237" i="39"/>
  <c r="C238" i="39"/>
  <c r="C239" i="39"/>
  <c r="C240" i="39"/>
  <c r="C241" i="39"/>
  <c r="C242" i="39"/>
  <c r="C243" i="39"/>
  <c r="C244" i="39"/>
  <c r="C245" i="39"/>
  <c r="C246" i="39"/>
  <c r="C247" i="39"/>
  <c r="C248" i="39"/>
  <c r="C249" i="39"/>
  <c r="C250" i="39"/>
  <c r="C251" i="39"/>
  <c r="C252" i="39"/>
  <c r="C253" i="39"/>
  <c r="C254" i="39"/>
  <c r="C255" i="39"/>
  <c r="C256" i="39"/>
  <c r="C257" i="39"/>
  <c r="C258" i="39"/>
  <c r="C259" i="39"/>
  <c r="C260" i="39"/>
  <c r="C261" i="39"/>
  <c r="C262" i="39"/>
  <c r="C263" i="39"/>
  <c r="C264" i="39"/>
  <c r="C265" i="39"/>
  <c r="C266" i="39"/>
  <c r="C267" i="39"/>
  <c r="C268" i="39"/>
  <c r="C269" i="39"/>
  <c r="C270" i="39"/>
  <c r="C271" i="39"/>
  <c r="C272" i="39"/>
  <c r="C273" i="39"/>
  <c r="C274" i="39"/>
  <c r="C275" i="39"/>
  <c r="C276" i="39"/>
  <c r="C277" i="39"/>
  <c r="C278" i="39"/>
  <c r="C279" i="39"/>
  <c r="C280" i="39"/>
  <c r="C281" i="39"/>
  <c r="C282" i="39"/>
  <c r="C283" i="39"/>
  <c r="C284" i="39"/>
  <c r="C285" i="39"/>
  <c r="C286" i="39"/>
  <c r="C287" i="39"/>
  <c r="C288" i="39"/>
  <c r="C289" i="39"/>
  <c r="C290" i="39"/>
  <c r="C291" i="39"/>
  <c r="C292" i="39"/>
  <c r="C293" i="39"/>
  <c r="C294" i="39"/>
  <c r="C295" i="39"/>
  <c r="C296" i="39"/>
  <c r="C297" i="39"/>
  <c r="C298" i="39"/>
  <c r="C299" i="39"/>
  <c r="C300" i="39"/>
  <c r="C301" i="39"/>
  <c r="C302" i="39"/>
  <c r="C303" i="39"/>
  <c r="C304" i="39"/>
  <c r="C305" i="39"/>
  <c r="C306" i="39"/>
  <c r="C307" i="39"/>
  <c r="C308" i="39"/>
  <c r="C309" i="39"/>
  <c r="C310" i="39"/>
  <c r="C311" i="39"/>
  <c r="C312" i="39"/>
  <c r="C313" i="39"/>
  <c r="C314" i="39"/>
  <c r="C315" i="39"/>
  <c r="C316" i="39"/>
  <c r="C317" i="39"/>
  <c r="C318" i="39"/>
  <c r="C319" i="39"/>
  <c r="C320" i="39"/>
  <c r="C321" i="39"/>
  <c r="C165" i="38"/>
  <c r="C202" i="39" s="1"/>
  <c r="B202" i="15"/>
  <c r="B203" i="15"/>
  <c r="B204" i="15"/>
  <c r="B205" i="15"/>
  <c r="B206" i="15"/>
  <c r="B201" i="15"/>
  <c r="C85" i="40"/>
  <c r="C124" i="39"/>
  <c r="A158" i="15"/>
  <c r="C106" i="40" l="1"/>
  <c r="A271" i="14"/>
  <c r="D83" i="38"/>
  <c r="D122" i="39" s="1"/>
  <c r="D83" i="40" s="1"/>
  <c r="C351" i="39"/>
  <c r="C349" i="39"/>
  <c r="C347" i="39"/>
  <c r="C345" i="39"/>
  <c r="C343" i="39"/>
  <c r="C341" i="39"/>
  <c r="C339" i="39"/>
  <c r="C337" i="39"/>
  <c r="C335" i="39"/>
  <c r="C333" i="39"/>
  <c r="C331" i="39"/>
  <c r="C329" i="39"/>
  <c r="C327" i="39"/>
  <c r="C325" i="39"/>
  <c r="C323" i="39"/>
  <c r="C350" i="39"/>
  <c r="C348" i="39"/>
  <c r="C346" i="39"/>
  <c r="C344" i="39"/>
  <c r="C342" i="39"/>
  <c r="C340" i="39"/>
  <c r="C338" i="39"/>
  <c r="C336" i="39"/>
  <c r="C334" i="39"/>
  <c r="C332" i="39"/>
  <c r="C330" i="39"/>
  <c r="C328" i="39"/>
  <c r="C326" i="39"/>
  <c r="C324" i="39"/>
  <c r="C322" i="39"/>
  <c r="C146" i="39" l="1"/>
  <c r="A240" i="31"/>
  <c r="C105" i="38" s="1"/>
  <c r="C168" i="39"/>
  <c r="D79" i="38"/>
  <c r="D118" i="39" s="1"/>
  <c r="D79" i="40" s="1"/>
  <c r="D80" i="38"/>
  <c r="D119" i="39" s="1"/>
  <c r="D80" i="40" s="1"/>
  <c r="D81" i="38"/>
  <c r="D120" i="39" s="1"/>
  <c r="D81" i="40" s="1"/>
  <c r="D82" i="38"/>
  <c r="D121" i="39" s="1"/>
  <c r="D82" i="40" s="1"/>
  <c r="D78" i="38"/>
  <c r="D117" i="39" s="1"/>
  <c r="D78" i="40" s="1"/>
  <c r="C79" i="38"/>
  <c r="C118" i="39" s="1"/>
  <c r="C79" i="40" s="1"/>
  <c r="C80" i="38"/>
  <c r="C119" i="39" s="1"/>
  <c r="C80" i="40" s="1"/>
  <c r="C81" i="38"/>
  <c r="C120" i="39" s="1"/>
  <c r="C81" i="40" s="1"/>
  <c r="C82" i="38"/>
  <c r="C121" i="39" s="1"/>
  <c r="C82" i="40" s="1"/>
  <c r="C78" i="38"/>
  <c r="C117" i="39" s="1"/>
  <c r="C78" i="40" s="1"/>
  <c r="C16" i="39"/>
  <c r="A234" i="14"/>
  <c r="A233" i="14"/>
  <c r="A232" i="14"/>
  <c r="A231" i="14"/>
  <c r="A230" i="14"/>
  <c r="B154" i="15"/>
  <c r="B155" i="15"/>
  <c r="B159" i="15" s="1"/>
  <c r="B156" i="15"/>
  <c r="B157" i="15"/>
  <c r="B153" i="15"/>
  <c r="A157" i="15"/>
  <c r="A156" i="15"/>
  <c r="A155" i="15"/>
  <c r="A159" i="15" s="1"/>
  <c r="A154" i="15"/>
  <c r="A153" i="15"/>
  <c r="C164" i="15"/>
  <c r="D164" i="15"/>
  <c r="E164" i="15"/>
  <c r="C210" i="14"/>
  <c r="D210" i="14"/>
  <c r="E210" i="14"/>
  <c r="F167" i="31"/>
  <c r="F49" i="15"/>
  <c r="F173" i="15" s="1"/>
  <c r="F50" i="15"/>
  <c r="F174" i="15" s="1"/>
  <c r="F51" i="15"/>
  <c r="F48" i="15"/>
  <c r="F172" i="15" s="1"/>
  <c r="D49" i="15"/>
  <c r="D173" i="15" s="1"/>
  <c r="D50" i="15"/>
  <c r="D174" i="15" s="1"/>
  <c r="D51" i="15"/>
  <c r="D48" i="15"/>
  <c r="D172" i="15" s="1"/>
  <c r="A51" i="15"/>
  <c r="A50" i="15"/>
  <c r="A174" i="15" s="1"/>
  <c r="A49" i="15"/>
  <c r="A173" i="15" s="1"/>
  <c r="A48" i="15"/>
  <c r="A172" i="15" s="1"/>
  <c r="F47" i="14"/>
  <c r="F48" i="14"/>
  <c r="F49" i="14"/>
  <c r="F46" i="14"/>
  <c r="D47" i="14"/>
  <c r="D222" i="14" s="1"/>
  <c r="D48" i="14"/>
  <c r="D223" i="14" s="1"/>
  <c r="D49" i="14"/>
  <c r="D46" i="14"/>
  <c r="D221" i="14" s="1"/>
  <c r="A49" i="14"/>
  <c r="A48" i="14"/>
  <c r="A223" i="14" s="1"/>
  <c r="A47" i="14"/>
  <c r="A222" i="14" s="1"/>
  <c r="A46" i="14"/>
  <c r="A221" i="14" s="1"/>
  <c r="F190" i="31"/>
  <c r="F191" i="31"/>
  <c r="G191" i="31" s="1"/>
  <c r="F189" i="31"/>
  <c r="D190" i="31"/>
  <c r="D191" i="31"/>
  <c r="D189" i="31"/>
  <c r="A191" i="31"/>
  <c r="A190" i="31"/>
  <c r="A189" i="31"/>
  <c r="D9" i="15"/>
  <c r="D9" i="14"/>
  <c r="F14" i="31"/>
  <c r="A221" i="15" l="1"/>
  <c r="C105" i="40" s="1"/>
  <c r="C15" i="37"/>
  <c r="D144" i="38" l="1"/>
  <c r="D181" i="39" s="1"/>
  <c r="D144" i="40" s="1"/>
  <c r="C144" i="38"/>
  <c r="F165" i="15" l="1"/>
  <c r="E160" i="31" l="1"/>
  <c r="E161" i="31"/>
  <c r="E179" i="14"/>
  <c r="F179" i="14" s="1"/>
  <c r="E178" i="14"/>
  <c r="F178" i="14" s="1"/>
  <c r="E159" i="31" l="1"/>
  <c r="E177" i="14"/>
  <c r="F177" i="14" s="1"/>
  <c r="F180" i="14" s="1"/>
  <c r="B43" i="15" l="1"/>
  <c r="F13" i="14" l="1"/>
  <c r="F32" i="14"/>
  <c r="F33" i="14"/>
  <c r="F186" i="14"/>
  <c r="F187" i="14"/>
  <c r="F188" i="14"/>
  <c r="F189" i="14"/>
  <c r="F190" i="14"/>
  <c r="F34" i="14" l="1"/>
  <c r="F191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88" i="14"/>
  <c r="G187" i="14"/>
  <c r="B190" i="14"/>
  <c r="B189" i="14"/>
  <c r="B188" i="14"/>
  <c r="B187" i="14"/>
  <c r="E191" i="14"/>
  <c r="D191" i="14"/>
  <c r="G190" i="14"/>
  <c r="G189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87" i="14"/>
  <c r="H188" i="14"/>
  <c r="H189" i="14"/>
  <c r="H190" i="14"/>
  <c r="G186" i="14"/>
  <c r="G191" i="14" s="1"/>
  <c r="B34" i="14"/>
  <c r="H32" i="14"/>
  <c r="G34" i="31"/>
  <c r="D36" i="31" l="1"/>
  <c r="D34" i="15"/>
  <c r="D34" i="14"/>
  <c r="B41" i="15"/>
  <c r="F40" i="15"/>
  <c r="B41" i="14"/>
  <c r="H186" i="14"/>
  <c r="G33" i="14"/>
  <c r="G34" i="14" s="1"/>
  <c r="G35" i="31"/>
  <c r="G36" i="31" s="1"/>
  <c r="H34" i="31"/>
  <c r="F36" i="31"/>
  <c r="H33" i="14" l="1"/>
  <c r="H35" i="31"/>
  <c r="D1" i="40" l="1"/>
  <c r="D1" i="39"/>
  <c r="C140" i="40" l="1"/>
  <c r="C134" i="40"/>
  <c r="C127" i="40"/>
  <c r="C126" i="40"/>
  <c r="C125" i="40"/>
  <c r="C124" i="40"/>
  <c r="C123" i="40"/>
  <c r="C122" i="40"/>
  <c r="C121" i="40"/>
  <c r="C160" i="39"/>
  <c r="C161" i="39"/>
  <c r="C162" i="39"/>
  <c r="C163" i="39"/>
  <c r="C164" i="39"/>
  <c r="C165" i="39"/>
  <c r="C166" i="39"/>
  <c r="C173" i="39"/>
  <c r="C179" i="39"/>
  <c r="C140" i="38" l="1"/>
  <c r="C133" i="38"/>
  <c r="C126" i="38" l="1"/>
  <c r="C125" i="38"/>
  <c r="C124" i="38"/>
  <c r="C123" i="38"/>
  <c r="C122" i="38"/>
  <c r="C121" i="38"/>
  <c r="C120" i="38"/>
  <c r="D25" i="14" l="1"/>
  <c r="E25" i="14" s="1"/>
  <c r="E9" i="39" l="1"/>
  <c r="B13" i="15"/>
  <c r="B18" i="37" l="1"/>
  <c r="B10" i="37"/>
  <c r="C8" i="37"/>
  <c r="B3" i="37"/>
  <c r="D25" i="15"/>
  <c r="E25" i="15" s="1"/>
  <c r="G25" i="15" l="1"/>
  <c r="I25" i="15" s="1"/>
  <c r="E9" i="40"/>
  <c r="D25" i="31"/>
  <c r="E25" i="31" s="1"/>
  <c r="A25" i="31"/>
  <c r="D13" i="31"/>
  <c r="D11" i="31"/>
  <c r="D24" i="15"/>
  <c r="E24" i="15" s="1"/>
  <c r="A24" i="15"/>
  <c r="D24" i="14"/>
  <c r="E24" i="14" s="1"/>
  <c r="B13" i="14"/>
  <c r="E10" i="39" l="1"/>
  <c r="G24" i="14"/>
  <c r="I24" i="14" s="1"/>
  <c r="G24" i="15"/>
  <c r="I24" i="15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14"/>
  <c r="G25" i="14" l="1"/>
  <c r="I25" i="14" s="1"/>
  <c r="I26" i="14" s="1"/>
  <c r="D26" i="31"/>
  <c r="E26" i="31" s="1"/>
  <c r="E9" i="38" l="1"/>
  <c r="A15" i="37"/>
  <c r="D44" i="15" l="1"/>
  <c r="D49" i="31"/>
  <c r="G26" i="31"/>
  <c r="I26" i="31" s="1"/>
  <c r="I27" i="31" s="1"/>
  <c r="A8" i="37" s="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141" i="31" l="1"/>
  <c r="D147" i="31" s="1"/>
  <c r="E55" i="31"/>
  <c r="G55" i="31" s="1"/>
  <c r="E54" i="31"/>
  <c r="E53" i="31"/>
  <c r="D149" i="31"/>
  <c r="E50" i="15"/>
  <c r="E48" i="15"/>
  <c r="E51" i="15"/>
  <c r="G51" i="15" s="1"/>
  <c r="E49" i="15"/>
  <c r="F160" i="14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126" i="15"/>
  <c r="D27" i="31"/>
  <c r="I6" i="36"/>
  <c r="G6" i="36"/>
  <c r="H6" i="36" s="1"/>
  <c r="I10" i="36"/>
  <c r="G10" i="36"/>
  <c r="H10" i="36" s="1"/>
  <c r="G7" i="36"/>
  <c r="H7" i="36" s="1"/>
  <c r="I7" i="36"/>
  <c r="D150" i="31" l="1"/>
  <c r="E150" i="31" s="1"/>
  <c r="G150" i="31" s="1"/>
  <c r="I150" i="31" s="1"/>
  <c r="D131" i="15"/>
  <c r="D132" i="15"/>
  <c r="D130" i="15"/>
  <c r="E131" i="38"/>
  <c r="E130" i="38"/>
  <c r="E149" i="31"/>
  <c r="G149" i="31" s="1"/>
  <c r="I149" i="31" s="1"/>
  <c r="E128" i="38"/>
  <c r="E133" i="38" s="1"/>
  <c r="E147" i="31"/>
  <c r="B179" i="14"/>
  <c r="B178" i="14"/>
  <c r="J23" i="15"/>
  <c r="A23" i="37"/>
  <c r="B161" i="31"/>
  <c r="F161" i="31" s="1"/>
  <c r="B160" i="31"/>
  <c r="D148" i="31"/>
  <c r="F194" i="14"/>
  <c r="D169" i="14"/>
  <c r="D168" i="14"/>
  <c r="D167" i="14"/>
  <c r="E167" i="14" s="1"/>
  <c r="D166" i="14"/>
  <c r="E166" i="14" s="1"/>
  <c r="F172" i="31"/>
  <c r="G167" i="31"/>
  <c r="G168" i="31" s="1"/>
  <c r="E49" i="14"/>
  <c r="E47" i="14"/>
  <c r="E13" i="39" s="1"/>
  <c r="E48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I11" i="36"/>
  <c r="G8" i="36"/>
  <c r="H8" i="36" s="1"/>
  <c r="D12" i="36"/>
  <c r="D15" i="36" s="1"/>
  <c r="G9" i="36"/>
  <c r="H9" i="36" s="1"/>
  <c r="F149" i="15"/>
  <c r="F5" i="36"/>
  <c r="E12" i="36"/>
  <c r="D203" i="14" l="1"/>
  <c r="D181" i="31" s="1"/>
  <c r="D202" i="14"/>
  <c r="D200" i="14"/>
  <c r="D157" i="15"/>
  <c r="D155" i="15"/>
  <c r="F155" i="15" s="1"/>
  <c r="E129" i="38"/>
  <c r="E148" i="31"/>
  <c r="G148" i="31" s="1"/>
  <c r="I148" i="31" s="1"/>
  <c r="E170" i="39"/>
  <c r="E168" i="14"/>
  <c r="B177" i="14"/>
  <c r="E171" i="39"/>
  <c r="E169" i="14"/>
  <c r="D158" i="15"/>
  <c r="D156" i="15"/>
  <c r="D154" i="15"/>
  <c r="F154" i="15" s="1"/>
  <c r="F157" i="15"/>
  <c r="D153" i="15"/>
  <c r="F153" i="15" s="1"/>
  <c r="G167" i="14"/>
  <c r="I167" i="14" s="1"/>
  <c r="E169" i="39"/>
  <c r="G166" i="14"/>
  <c r="I166" i="14" s="1"/>
  <c r="E168" i="39"/>
  <c r="F156" i="15"/>
  <c r="D186" i="31"/>
  <c r="F181" i="31" s="1"/>
  <c r="B159" i="31"/>
  <c r="F203" i="14"/>
  <c r="D201" i="14"/>
  <c r="D179" i="31" s="1"/>
  <c r="F179" i="31" s="1"/>
  <c r="D198" i="14"/>
  <c r="F198" i="14" s="1"/>
  <c r="D199" i="14"/>
  <c r="E118" i="39" s="1"/>
  <c r="E173" i="39"/>
  <c r="G147" i="31"/>
  <c r="I147" i="31" s="1"/>
  <c r="E122" i="39"/>
  <c r="E83" i="38"/>
  <c r="E132" i="40"/>
  <c r="E131" i="40"/>
  <c r="E129" i="40"/>
  <c r="E134" i="40" s="1"/>
  <c r="E130" i="40"/>
  <c r="G56" i="31"/>
  <c r="B8" i="37" s="1"/>
  <c r="G164" i="15"/>
  <c r="G165" i="15" s="1"/>
  <c r="G52" i="15"/>
  <c r="J45" i="31"/>
  <c r="D217" i="14"/>
  <c r="D168" i="15"/>
  <c r="I5" i="36"/>
  <c r="F12" i="36"/>
  <c r="I12" i="36" s="1"/>
  <c r="G5" i="36"/>
  <c r="G12" i="36" s="1"/>
  <c r="D176" i="31" l="1"/>
  <c r="F176" i="31" s="1"/>
  <c r="F202" i="14"/>
  <c r="D180" i="31"/>
  <c r="F180" i="31" s="1"/>
  <c r="F199" i="14"/>
  <c r="D177" i="31"/>
  <c r="F177" i="31" s="1"/>
  <c r="F200" i="14"/>
  <c r="D178" i="31"/>
  <c r="F178" i="31" s="1"/>
  <c r="F160" i="31"/>
  <c r="F159" i="31"/>
  <c r="F158" i="15"/>
  <c r="F160" i="15" s="1"/>
  <c r="D194" i="31"/>
  <c r="E189" i="31"/>
  <c r="E135" i="38" s="1"/>
  <c r="E117" i="39"/>
  <c r="E121" i="39"/>
  <c r="I151" i="31"/>
  <c r="F201" i="14"/>
  <c r="E120" i="39"/>
  <c r="E174" i="15"/>
  <c r="G174" i="15" s="1"/>
  <c r="E172" i="15"/>
  <c r="E173" i="15"/>
  <c r="E222" i="14"/>
  <c r="E176" i="39" s="1"/>
  <c r="E223" i="14"/>
  <c r="G223" i="14" s="1"/>
  <c r="E221" i="14"/>
  <c r="E175" i="39" s="1"/>
  <c r="G168" i="14"/>
  <c r="I168" i="14" s="1"/>
  <c r="G169" i="14"/>
  <c r="I169" i="14" s="1"/>
  <c r="G189" i="31"/>
  <c r="E83" i="40"/>
  <c r="E81" i="38"/>
  <c r="E82" i="40"/>
  <c r="E79" i="40"/>
  <c r="E136" i="40"/>
  <c r="E140" i="40" s="1"/>
  <c r="E80" i="40"/>
  <c r="E81" i="40"/>
  <c r="G210" i="14"/>
  <c r="G211" i="14" s="1"/>
  <c r="E78" i="40"/>
  <c r="G190" i="31"/>
  <c r="E136" i="38"/>
  <c r="E137" i="38"/>
  <c r="D226" i="14"/>
  <c r="D234" i="14" s="1"/>
  <c r="G234" i="14" s="1"/>
  <c r="D177" i="15"/>
  <c r="D185" i="15" s="1"/>
  <c r="D205" i="31"/>
  <c r="H5" i="36"/>
  <c r="H12" i="36" s="1"/>
  <c r="F162" i="31" l="1"/>
  <c r="E78" i="38"/>
  <c r="E79" i="38"/>
  <c r="F205" i="14"/>
  <c r="F183" i="31"/>
  <c r="D8" i="37" s="1"/>
  <c r="E82" i="38"/>
  <c r="E80" i="38"/>
  <c r="J46" i="31"/>
  <c r="J47" i="31" s="1"/>
  <c r="J50" i="31" s="1"/>
  <c r="I8" i="37"/>
  <c r="D202" i="31"/>
  <c r="G202" i="31" s="1"/>
  <c r="D198" i="31"/>
  <c r="D231" i="14"/>
  <c r="D199" i="31" s="1"/>
  <c r="E121" i="38" s="1"/>
  <c r="D182" i="15"/>
  <c r="G182" i="15" s="1"/>
  <c r="D233" i="14"/>
  <c r="D201" i="31" s="1"/>
  <c r="D232" i="14"/>
  <c r="D200" i="31" s="1"/>
  <c r="G200" i="31" s="1"/>
  <c r="D184" i="15"/>
  <c r="D183" i="15"/>
  <c r="E177" i="39"/>
  <c r="I170" i="14"/>
  <c r="I15" i="37" s="1"/>
  <c r="G172" i="15"/>
  <c r="E125" i="38"/>
  <c r="E126" i="38"/>
  <c r="D237" i="14"/>
  <c r="D245" i="14" s="1"/>
  <c r="D249" i="14" s="1"/>
  <c r="D218" i="31" s="1"/>
  <c r="F218" i="31" s="1"/>
  <c r="J25" i="15"/>
  <c r="G173" i="15"/>
  <c r="E137" i="40"/>
  <c r="E138" i="40"/>
  <c r="D188" i="15"/>
  <c r="E121" i="40"/>
  <c r="D214" i="31"/>
  <c r="D210" i="31"/>
  <c r="G199" i="31" l="1"/>
  <c r="E122" i="38"/>
  <c r="E124" i="38"/>
  <c r="G198" i="31"/>
  <c r="E120" i="38"/>
  <c r="E123" i="38"/>
  <c r="G201" i="31"/>
  <c r="D243" i="31"/>
  <c r="E107" i="38" s="1"/>
  <c r="D241" i="31"/>
  <c r="E105" i="38" s="1"/>
  <c r="D239" i="31"/>
  <c r="F221" i="31"/>
  <c r="D242" i="31"/>
  <c r="E106" i="38" s="1"/>
  <c r="D240" i="31"/>
  <c r="E104" i="38" s="1"/>
  <c r="F222" i="31"/>
  <c r="G175" i="15"/>
  <c r="B23" i="37" s="1"/>
  <c r="J26" i="14"/>
  <c r="F229" i="31"/>
  <c r="F231" i="31"/>
  <c r="F224" i="31"/>
  <c r="F223" i="31"/>
  <c r="F233" i="31"/>
  <c r="F227" i="31"/>
  <c r="F232" i="31"/>
  <c r="F230" i="31"/>
  <c r="F225" i="31"/>
  <c r="A257" i="31"/>
  <c r="G184" i="15"/>
  <c r="E124" i="40"/>
  <c r="E122" i="40"/>
  <c r="G183" i="15"/>
  <c r="E123" i="40"/>
  <c r="G233" i="14"/>
  <c r="E163" i="39"/>
  <c r="G230" i="14"/>
  <c r="E160" i="39"/>
  <c r="E164" i="39"/>
  <c r="G231" i="14"/>
  <c r="E161" i="39"/>
  <c r="E165" i="39"/>
  <c r="G232" i="14"/>
  <c r="E162" i="39"/>
  <c r="E166" i="39"/>
  <c r="A286" i="14"/>
  <c r="G210" i="31"/>
  <c r="E140" i="38"/>
  <c r="D196" i="15"/>
  <c r="D193" i="15"/>
  <c r="G193" i="15" s="1"/>
  <c r="D293" i="14" l="1"/>
  <c r="D264" i="31" s="1"/>
  <c r="E145" i="38" s="1"/>
  <c r="D295" i="14"/>
  <c r="D266" i="31" s="1"/>
  <c r="E147" i="38" s="1"/>
  <c r="D297" i="14"/>
  <c r="D268" i="31" s="1"/>
  <c r="E149" i="38" s="1"/>
  <c r="D299" i="14"/>
  <c r="D270" i="31" s="1"/>
  <c r="E151" i="38" s="1"/>
  <c r="D301" i="14"/>
  <c r="D272" i="31" s="1"/>
  <c r="E153" i="38" s="1"/>
  <c r="D303" i="14"/>
  <c r="F303" i="14" s="1"/>
  <c r="D305" i="14"/>
  <c r="D276" i="31" s="1"/>
  <c r="D307" i="14"/>
  <c r="F307" i="14" s="1"/>
  <c r="D309" i="14"/>
  <c r="D311" i="14"/>
  <c r="D282" i="31" s="1"/>
  <c r="D313" i="14"/>
  <c r="D284" i="31" s="1"/>
  <c r="E165" i="38" s="1"/>
  <c r="D315" i="14"/>
  <c r="D286" i="31" s="1"/>
  <c r="E167" i="38" s="1"/>
  <c r="D317" i="14"/>
  <c r="D288" i="31" s="1"/>
  <c r="E169" i="38" s="1"/>
  <c r="D319" i="14"/>
  <c r="D290" i="31" s="1"/>
  <c r="E171" i="38" s="1"/>
  <c r="D321" i="14"/>
  <c r="D292" i="31" s="1"/>
  <c r="E173" i="38" s="1"/>
  <c r="D323" i="14"/>
  <c r="D294" i="31" s="1"/>
  <c r="E175" i="38" s="1"/>
  <c r="D325" i="14"/>
  <c r="D296" i="31" s="1"/>
  <c r="E177" i="38" s="1"/>
  <c r="D327" i="14"/>
  <c r="D298" i="31" s="1"/>
  <c r="E179" i="38" s="1"/>
  <c r="D329" i="14"/>
  <c r="D300" i="31" s="1"/>
  <c r="D331" i="14"/>
  <c r="D302" i="31" s="1"/>
  <c r="D333" i="14"/>
  <c r="D304" i="31" s="1"/>
  <c r="D335" i="14"/>
  <c r="D306" i="31" s="1"/>
  <c r="D337" i="14"/>
  <c r="D308" i="31" s="1"/>
  <c r="D339" i="14"/>
  <c r="D310" i="31" s="1"/>
  <c r="D341" i="14"/>
  <c r="D312" i="31" s="1"/>
  <c r="D343" i="14"/>
  <c r="D314" i="31" s="1"/>
  <c r="D345" i="14"/>
  <c r="D316" i="31" s="1"/>
  <c r="D347" i="14"/>
  <c r="D318" i="31" s="1"/>
  <c r="D349" i="14"/>
  <c r="D320" i="31" s="1"/>
  <c r="D351" i="14"/>
  <c r="D322" i="31" s="1"/>
  <c r="D353" i="14"/>
  <c r="D324" i="31" s="1"/>
  <c r="D355" i="14"/>
  <c r="D326" i="31" s="1"/>
  <c r="D357" i="14"/>
  <c r="D328" i="31" s="1"/>
  <c r="D359" i="14"/>
  <c r="D330" i="31" s="1"/>
  <c r="D361" i="14"/>
  <c r="D332" i="31" s="1"/>
  <c r="D363" i="14"/>
  <c r="D334" i="31" s="1"/>
  <c r="D365" i="14"/>
  <c r="D336" i="31" s="1"/>
  <c r="D367" i="14"/>
  <c r="D338" i="31" s="1"/>
  <c r="D369" i="14"/>
  <c r="D340" i="31" s="1"/>
  <c r="D371" i="14"/>
  <c r="D342" i="31" s="1"/>
  <c r="D373" i="14"/>
  <c r="D344" i="31" s="1"/>
  <c r="D375" i="14"/>
  <c r="D346" i="31" s="1"/>
  <c r="D377" i="14"/>
  <c r="D348" i="31" s="1"/>
  <c r="D379" i="14"/>
  <c r="D350" i="31" s="1"/>
  <c r="D381" i="14"/>
  <c r="D352" i="31" s="1"/>
  <c r="D383" i="14"/>
  <c r="D354" i="31" s="1"/>
  <c r="D385" i="14"/>
  <c r="D356" i="31" s="1"/>
  <c r="D387" i="14"/>
  <c r="D358" i="31" s="1"/>
  <c r="D389" i="14"/>
  <c r="D360" i="31" s="1"/>
  <c r="D391" i="14"/>
  <c r="D362" i="31" s="1"/>
  <c r="D393" i="14"/>
  <c r="D364" i="31" s="1"/>
  <c r="D395" i="14"/>
  <c r="D366" i="31" s="1"/>
  <c r="D397" i="14"/>
  <c r="D368" i="31" s="1"/>
  <c r="D399" i="14"/>
  <c r="D370" i="31" s="1"/>
  <c r="D401" i="14"/>
  <c r="D372" i="31" s="1"/>
  <c r="D403" i="14"/>
  <c r="D374" i="31" s="1"/>
  <c r="D405" i="14"/>
  <c r="D376" i="31" s="1"/>
  <c r="D407" i="14"/>
  <c r="D378" i="31" s="1"/>
  <c r="D409" i="14"/>
  <c r="D380" i="31" s="1"/>
  <c r="D411" i="14"/>
  <c r="D382" i="31" s="1"/>
  <c r="D413" i="14"/>
  <c r="D384" i="31" s="1"/>
  <c r="D415" i="14"/>
  <c r="D386" i="31" s="1"/>
  <c r="D417" i="14"/>
  <c r="D388" i="31" s="1"/>
  <c r="D419" i="14"/>
  <c r="D390" i="31" s="1"/>
  <c r="D421" i="14"/>
  <c r="D392" i="31" s="1"/>
  <c r="D423" i="14"/>
  <c r="D394" i="31" s="1"/>
  <c r="D425" i="14"/>
  <c r="D396" i="31" s="1"/>
  <c r="D427" i="14"/>
  <c r="D398" i="31" s="1"/>
  <c r="D429" i="14"/>
  <c r="D400" i="31" s="1"/>
  <c r="D431" i="14"/>
  <c r="D402" i="31" s="1"/>
  <c r="D433" i="14"/>
  <c r="D404" i="31" s="1"/>
  <c r="D435" i="14"/>
  <c r="D406" i="31" s="1"/>
  <c r="D437" i="14"/>
  <c r="D408" i="31" s="1"/>
  <c r="D439" i="14"/>
  <c r="D410" i="31" s="1"/>
  <c r="D441" i="14"/>
  <c r="D412" i="31" s="1"/>
  <c r="D443" i="14"/>
  <c r="D414" i="31" s="1"/>
  <c r="D445" i="14"/>
  <c r="D416" i="31" s="1"/>
  <c r="D447" i="14"/>
  <c r="D418" i="31" s="1"/>
  <c r="D449" i="14"/>
  <c r="D420" i="31" s="1"/>
  <c r="D451" i="14"/>
  <c r="D422" i="31" s="1"/>
  <c r="D453" i="14"/>
  <c r="D424" i="31" s="1"/>
  <c r="D455" i="14"/>
  <c r="D426" i="31" s="1"/>
  <c r="D457" i="14"/>
  <c r="D428" i="31" s="1"/>
  <c r="D459" i="14"/>
  <c r="D430" i="31" s="1"/>
  <c r="D461" i="14"/>
  <c r="D432" i="31" s="1"/>
  <c r="D463" i="14"/>
  <c r="D434" i="31" s="1"/>
  <c r="D465" i="14"/>
  <c r="D436" i="31" s="1"/>
  <c r="D467" i="14"/>
  <c r="D438" i="31" s="1"/>
  <c r="D469" i="14"/>
  <c r="D440" i="31" s="1"/>
  <c r="D471" i="14"/>
  <c r="D442" i="31" s="1"/>
  <c r="D473" i="14"/>
  <c r="D444" i="31" s="1"/>
  <c r="D475" i="14"/>
  <c r="D446" i="31" s="1"/>
  <c r="D477" i="14"/>
  <c r="D448" i="31" s="1"/>
  <c r="D479" i="14"/>
  <c r="D450" i="31" s="1"/>
  <c r="D481" i="14"/>
  <c r="D452" i="31" s="1"/>
  <c r="D483" i="14"/>
  <c r="D454" i="31" s="1"/>
  <c r="D485" i="14"/>
  <c r="D456" i="31" s="1"/>
  <c r="D487" i="14"/>
  <c r="D458" i="31" s="1"/>
  <c r="D489" i="14"/>
  <c r="D460" i="31" s="1"/>
  <c r="D491" i="14"/>
  <c r="D462" i="31" s="1"/>
  <c r="D493" i="14"/>
  <c r="D464" i="31" s="1"/>
  <c r="D495" i="14"/>
  <c r="D466" i="31" s="1"/>
  <c r="D497" i="14"/>
  <c r="D468" i="31" s="1"/>
  <c r="D499" i="14"/>
  <c r="D470" i="31" s="1"/>
  <c r="D501" i="14"/>
  <c r="D472" i="31" s="1"/>
  <c r="D503" i="14"/>
  <c r="D474" i="31" s="1"/>
  <c r="D505" i="14"/>
  <c r="D476" i="31" s="1"/>
  <c r="D507" i="14"/>
  <c r="D478" i="31" s="1"/>
  <c r="D509" i="14"/>
  <c r="D480" i="31" s="1"/>
  <c r="D292" i="14"/>
  <c r="D296" i="14"/>
  <c r="D267" i="31" s="1"/>
  <c r="E148" i="38" s="1"/>
  <c r="D300" i="14"/>
  <c r="D271" i="31" s="1"/>
  <c r="E152" i="38" s="1"/>
  <c r="D304" i="14"/>
  <c r="D275" i="31" s="1"/>
  <c r="E156" i="38" s="1"/>
  <c r="D308" i="14"/>
  <c r="D279" i="31" s="1"/>
  <c r="E160" i="38" s="1"/>
  <c r="D312" i="14"/>
  <c r="D283" i="31" s="1"/>
  <c r="D316" i="14"/>
  <c r="D287" i="31" s="1"/>
  <c r="E168" i="38" s="1"/>
  <c r="D320" i="14"/>
  <c r="D291" i="31" s="1"/>
  <c r="E172" i="38" s="1"/>
  <c r="D324" i="14"/>
  <c r="D295" i="31" s="1"/>
  <c r="E176" i="38" s="1"/>
  <c r="D328" i="14"/>
  <c r="D299" i="31" s="1"/>
  <c r="E180" i="38" s="1"/>
  <c r="D332" i="14"/>
  <c r="D303" i="31" s="1"/>
  <c r="D336" i="14"/>
  <c r="D307" i="31" s="1"/>
  <c r="D340" i="14"/>
  <c r="D311" i="31" s="1"/>
  <c r="D344" i="14"/>
  <c r="D315" i="31" s="1"/>
  <c r="D348" i="14"/>
  <c r="D319" i="31" s="1"/>
  <c r="D352" i="14"/>
  <c r="D323" i="31" s="1"/>
  <c r="D356" i="14"/>
  <c r="D327" i="31" s="1"/>
  <c r="D360" i="14"/>
  <c r="D331" i="31" s="1"/>
  <c r="D364" i="14"/>
  <c r="D335" i="31" s="1"/>
  <c r="D368" i="14"/>
  <c r="D339" i="31" s="1"/>
  <c r="D372" i="14"/>
  <c r="D343" i="31" s="1"/>
  <c r="D376" i="14"/>
  <c r="D347" i="31" s="1"/>
  <c r="D380" i="14"/>
  <c r="D351" i="31" s="1"/>
  <c r="D384" i="14"/>
  <c r="D355" i="31" s="1"/>
  <c r="D388" i="14"/>
  <c r="D359" i="31" s="1"/>
  <c r="D392" i="14"/>
  <c r="D363" i="31" s="1"/>
  <c r="D396" i="14"/>
  <c r="D367" i="31" s="1"/>
  <c r="D400" i="14"/>
  <c r="D371" i="31" s="1"/>
  <c r="D404" i="14"/>
  <c r="D375" i="31" s="1"/>
  <c r="D408" i="14"/>
  <c r="D379" i="31" s="1"/>
  <c r="D412" i="14"/>
  <c r="D383" i="31" s="1"/>
  <c r="D416" i="14"/>
  <c r="D387" i="31" s="1"/>
  <c r="D420" i="14"/>
  <c r="D391" i="31" s="1"/>
  <c r="D424" i="14"/>
  <c r="D395" i="31" s="1"/>
  <c r="D428" i="14"/>
  <c r="D399" i="31" s="1"/>
  <c r="D432" i="14"/>
  <c r="D403" i="31" s="1"/>
  <c r="D436" i="14"/>
  <c r="D407" i="31" s="1"/>
  <c r="D440" i="14"/>
  <c r="D411" i="31" s="1"/>
  <c r="D444" i="14"/>
  <c r="D415" i="31" s="1"/>
  <c r="D448" i="14"/>
  <c r="D419" i="31" s="1"/>
  <c r="D452" i="14"/>
  <c r="D423" i="31" s="1"/>
  <c r="D456" i="14"/>
  <c r="D427" i="31" s="1"/>
  <c r="D460" i="14"/>
  <c r="D431" i="31" s="1"/>
  <c r="D464" i="14"/>
  <c r="D435" i="31" s="1"/>
  <c r="D468" i="14"/>
  <c r="D439" i="31" s="1"/>
  <c r="D472" i="14"/>
  <c r="D443" i="31" s="1"/>
  <c r="D476" i="14"/>
  <c r="D447" i="31" s="1"/>
  <c r="D480" i="14"/>
  <c r="D451" i="31" s="1"/>
  <c r="D484" i="14"/>
  <c r="D455" i="31" s="1"/>
  <c r="D488" i="14"/>
  <c r="D459" i="31" s="1"/>
  <c r="D492" i="14"/>
  <c r="D463" i="31" s="1"/>
  <c r="D496" i="14"/>
  <c r="D467" i="31" s="1"/>
  <c r="D500" i="14"/>
  <c r="D471" i="31" s="1"/>
  <c r="D504" i="14"/>
  <c r="D475" i="31" s="1"/>
  <c r="D508" i="14"/>
  <c r="D479" i="31" s="1"/>
  <c r="D294" i="14"/>
  <c r="D265" i="31" s="1"/>
  <c r="E146" i="38" s="1"/>
  <c r="D298" i="14"/>
  <c r="D269" i="31" s="1"/>
  <c r="E150" i="38" s="1"/>
  <c r="D302" i="14"/>
  <c r="D273" i="31" s="1"/>
  <c r="E154" i="38" s="1"/>
  <c r="D306" i="14"/>
  <c r="D277" i="31" s="1"/>
  <c r="E158" i="38" s="1"/>
  <c r="D310" i="14"/>
  <c r="D281" i="31" s="1"/>
  <c r="E162" i="38" s="1"/>
  <c r="D314" i="14"/>
  <c r="D285" i="31" s="1"/>
  <c r="E166" i="38" s="1"/>
  <c r="D318" i="14"/>
  <c r="D289" i="31" s="1"/>
  <c r="E170" i="38" s="1"/>
  <c r="D322" i="14"/>
  <c r="D293" i="31" s="1"/>
  <c r="E174" i="38" s="1"/>
  <c r="D326" i="14"/>
  <c r="D297" i="31" s="1"/>
  <c r="E178" i="38" s="1"/>
  <c r="D330" i="14"/>
  <c r="D301" i="31" s="1"/>
  <c r="D334" i="14"/>
  <c r="D305" i="31" s="1"/>
  <c r="D338" i="14"/>
  <c r="D309" i="31" s="1"/>
  <c r="D342" i="14"/>
  <c r="D313" i="31" s="1"/>
  <c r="D346" i="14"/>
  <c r="D317" i="31" s="1"/>
  <c r="D350" i="14"/>
  <c r="D321" i="31" s="1"/>
  <c r="D354" i="14"/>
  <c r="D325" i="31" s="1"/>
  <c r="D358" i="14"/>
  <c r="D329" i="31" s="1"/>
  <c r="D362" i="14"/>
  <c r="D333" i="31" s="1"/>
  <c r="D366" i="14"/>
  <c r="D337" i="31" s="1"/>
  <c r="D370" i="14"/>
  <c r="D341" i="31" s="1"/>
  <c r="D374" i="14"/>
  <c r="D345" i="31" s="1"/>
  <c r="D378" i="14"/>
  <c r="D349" i="31" s="1"/>
  <c r="D382" i="14"/>
  <c r="D353" i="31" s="1"/>
  <c r="D386" i="14"/>
  <c r="D357" i="31" s="1"/>
  <c r="D390" i="14"/>
  <c r="D361" i="31" s="1"/>
  <c r="D394" i="14"/>
  <c r="D365" i="31" s="1"/>
  <c r="D398" i="14"/>
  <c r="D369" i="31" s="1"/>
  <c r="D402" i="14"/>
  <c r="D373" i="31" s="1"/>
  <c r="D406" i="14"/>
  <c r="D377" i="31" s="1"/>
  <c r="D410" i="14"/>
  <c r="D381" i="31" s="1"/>
  <c r="D414" i="14"/>
  <c r="D385" i="31" s="1"/>
  <c r="D418" i="14"/>
  <c r="D389" i="31" s="1"/>
  <c r="D422" i="14"/>
  <c r="D393" i="31" s="1"/>
  <c r="D426" i="14"/>
  <c r="D397" i="31" s="1"/>
  <c r="D430" i="14"/>
  <c r="D401" i="31" s="1"/>
  <c r="D434" i="14"/>
  <c r="D405" i="31" s="1"/>
  <c r="D438" i="14"/>
  <c r="D409" i="31" s="1"/>
  <c r="D442" i="14"/>
  <c r="D413" i="31" s="1"/>
  <c r="D446" i="14"/>
  <c r="D417" i="31" s="1"/>
  <c r="D450" i="14"/>
  <c r="D421" i="31" s="1"/>
  <c r="D454" i="14"/>
  <c r="D425" i="31" s="1"/>
  <c r="D458" i="14"/>
  <c r="D429" i="31" s="1"/>
  <c r="D462" i="14"/>
  <c r="D433" i="31" s="1"/>
  <c r="D466" i="14"/>
  <c r="D437" i="31" s="1"/>
  <c r="D470" i="14"/>
  <c r="D441" i="31" s="1"/>
  <c r="D474" i="14"/>
  <c r="D445" i="31" s="1"/>
  <c r="D478" i="14"/>
  <c r="D449" i="31" s="1"/>
  <c r="D482" i="14"/>
  <c r="D453" i="31" s="1"/>
  <c r="D486" i="14"/>
  <c r="D457" i="31" s="1"/>
  <c r="D490" i="14"/>
  <c r="D461" i="31" s="1"/>
  <c r="D494" i="14"/>
  <c r="D465" i="31" s="1"/>
  <c r="D498" i="14"/>
  <c r="D469" i="31" s="1"/>
  <c r="D502" i="14"/>
  <c r="D473" i="31" s="1"/>
  <c r="D506" i="14"/>
  <c r="D477" i="31" s="1"/>
  <c r="D510" i="14"/>
  <c r="D481" i="31" s="1"/>
  <c r="G203" i="31"/>
  <c r="G8" i="37" s="1"/>
  <c r="D290" i="14"/>
  <c r="D291" i="14"/>
  <c r="F226" i="31"/>
  <c r="D220" i="15"/>
  <c r="E104" i="40" s="1"/>
  <c r="D217" i="15"/>
  <c r="E101" i="40" s="1"/>
  <c r="D215" i="15"/>
  <c r="E99" i="40" s="1"/>
  <c r="D213" i="15"/>
  <c r="E97" i="40" s="1"/>
  <c r="D211" i="15"/>
  <c r="E95" i="40" s="1"/>
  <c r="D208" i="15"/>
  <c r="E92" i="40" s="1"/>
  <c r="D206" i="15"/>
  <c r="E90" i="40" s="1"/>
  <c r="D204" i="15"/>
  <c r="E88" i="40" s="1"/>
  <c r="D202" i="15"/>
  <c r="E86" i="40" s="1"/>
  <c r="D218" i="15"/>
  <c r="E102" i="40" s="1"/>
  <c r="D216" i="15"/>
  <c r="E100" i="40" s="1"/>
  <c r="D214" i="15"/>
  <c r="E98" i="40" s="1"/>
  <c r="D212" i="15"/>
  <c r="E96" i="40" s="1"/>
  <c r="D209" i="15"/>
  <c r="E93" i="40" s="1"/>
  <c r="D207" i="15"/>
  <c r="E91" i="40" s="1"/>
  <c r="D203" i="15"/>
  <c r="E87" i="40" s="1"/>
  <c r="D201" i="15"/>
  <c r="F201" i="15" s="1"/>
  <c r="E185" i="39"/>
  <c r="E204" i="39"/>
  <c r="E206" i="39"/>
  <c r="E208" i="39"/>
  <c r="E210" i="39"/>
  <c r="E212" i="39"/>
  <c r="E214" i="39"/>
  <c r="E216" i="39"/>
  <c r="E218" i="39"/>
  <c r="E220" i="39"/>
  <c r="E222" i="39"/>
  <c r="E224" i="39"/>
  <c r="E226" i="39"/>
  <c r="E228" i="39"/>
  <c r="E230" i="39"/>
  <c r="E232" i="39"/>
  <c r="E234" i="39"/>
  <c r="E236" i="39"/>
  <c r="E238" i="39"/>
  <c r="E240" i="39"/>
  <c r="E242" i="39"/>
  <c r="E244" i="39"/>
  <c r="E246" i="39"/>
  <c r="E248" i="39"/>
  <c r="E250" i="39"/>
  <c r="E252" i="39"/>
  <c r="E254" i="39"/>
  <c r="E256" i="39"/>
  <c r="E258" i="39"/>
  <c r="E260" i="39"/>
  <c r="E262" i="39"/>
  <c r="E264" i="39"/>
  <c r="E266" i="39"/>
  <c r="E268" i="39"/>
  <c r="E270" i="39"/>
  <c r="E272" i="39"/>
  <c r="E274" i="39"/>
  <c r="E276" i="39"/>
  <c r="E278" i="39"/>
  <c r="E280" i="39"/>
  <c r="E282" i="39"/>
  <c r="E284" i="39"/>
  <c r="E286" i="39"/>
  <c r="E288" i="39"/>
  <c r="E290" i="39"/>
  <c r="E292" i="39"/>
  <c r="E294" i="39"/>
  <c r="E296" i="39"/>
  <c r="E298" i="39"/>
  <c r="E300" i="39"/>
  <c r="E302" i="39"/>
  <c r="E304" i="39"/>
  <c r="E306" i="39"/>
  <c r="E308" i="39"/>
  <c r="E310" i="39"/>
  <c r="E312" i="39"/>
  <c r="E314" i="39"/>
  <c r="E316" i="39"/>
  <c r="E318" i="39"/>
  <c r="E320" i="39"/>
  <c r="E322" i="39"/>
  <c r="E324" i="39"/>
  <c r="E326" i="39"/>
  <c r="E328" i="39"/>
  <c r="E330" i="39"/>
  <c r="E332" i="39"/>
  <c r="E334" i="39"/>
  <c r="E336" i="39"/>
  <c r="E338" i="39"/>
  <c r="E340" i="39"/>
  <c r="E342" i="39"/>
  <c r="E344" i="39"/>
  <c r="E346" i="39"/>
  <c r="E203" i="39"/>
  <c r="E207" i="39"/>
  <c r="E215" i="39"/>
  <c r="E223" i="39"/>
  <c r="E231" i="39"/>
  <c r="E239" i="39"/>
  <c r="E247" i="39"/>
  <c r="E255" i="39"/>
  <c r="E263" i="39"/>
  <c r="E267" i="39"/>
  <c r="E273" i="39"/>
  <c r="E281" i="39"/>
  <c r="E289" i="39"/>
  <c r="E297" i="39"/>
  <c r="E305" i="39"/>
  <c r="E313" i="39"/>
  <c r="E321" i="39"/>
  <c r="E329" i="39"/>
  <c r="E331" i="39"/>
  <c r="E335" i="39"/>
  <c r="E343" i="39"/>
  <c r="E350" i="39"/>
  <c r="E354" i="39"/>
  <c r="E358" i="39"/>
  <c r="E362" i="39"/>
  <c r="E366" i="39"/>
  <c r="E370" i="39"/>
  <c r="E374" i="39"/>
  <c r="E378" i="39"/>
  <c r="E382" i="39"/>
  <c r="E386" i="39"/>
  <c r="E390" i="39"/>
  <c r="E394" i="39"/>
  <c r="E351" i="39"/>
  <c r="E359" i="39"/>
  <c r="E367" i="39"/>
  <c r="E375" i="39"/>
  <c r="E383" i="39"/>
  <c r="E389" i="39"/>
  <c r="E393" i="39"/>
  <c r="E111" i="38"/>
  <c r="F247" i="31"/>
  <c r="E113" i="38"/>
  <c r="F249" i="31"/>
  <c r="F252" i="31"/>
  <c r="E116" i="38"/>
  <c r="F248" i="31"/>
  <c r="E112" i="38"/>
  <c r="F244" i="31"/>
  <c r="E108" i="38"/>
  <c r="F235" i="31"/>
  <c r="E115" i="38"/>
  <c r="F251" i="31"/>
  <c r="F234" i="31"/>
  <c r="E117" i="38"/>
  <c r="F253" i="31"/>
  <c r="E109" i="38"/>
  <c r="F245" i="31"/>
  <c r="F236" i="31"/>
  <c r="F254" i="31"/>
  <c r="E118" i="38"/>
  <c r="F250" i="31"/>
  <c r="E114" i="38"/>
  <c r="F246" i="31"/>
  <c r="E110" i="38"/>
  <c r="F238" i="31"/>
  <c r="D274" i="14"/>
  <c r="D276" i="14"/>
  <c r="D278" i="14"/>
  <c r="D280" i="14"/>
  <c r="D282" i="14"/>
  <c r="D273" i="14"/>
  <c r="D275" i="14"/>
  <c r="D277" i="14"/>
  <c r="D279" i="14"/>
  <c r="D281" i="14"/>
  <c r="D283" i="14"/>
  <c r="G211" i="31"/>
  <c r="H8" i="37" s="1"/>
  <c r="G194" i="15"/>
  <c r="H23" i="37" s="1"/>
  <c r="F250" i="14"/>
  <c r="F255" i="14"/>
  <c r="E202" i="39"/>
  <c r="E197" i="39"/>
  <c r="E186" i="39"/>
  <c r="F252" i="14"/>
  <c r="F249" i="14"/>
  <c r="E124" i="39"/>
  <c r="F253" i="14"/>
  <c r="F256" i="14"/>
  <c r="E85" i="38"/>
  <c r="F220" i="31"/>
  <c r="F309" i="14"/>
  <c r="F251" i="14"/>
  <c r="F254" i="14"/>
  <c r="G235" i="14"/>
  <c r="G185" i="15"/>
  <c r="E125" i="40"/>
  <c r="E127" i="40"/>
  <c r="E126" i="40"/>
  <c r="A227" i="15"/>
  <c r="F310" i="14" l="1"/>
  <c r="E191" i="39"/>
  <c r="E391" i="39"/>
  <c r="E385" i="39"/>
  <c r="E377" i="39"/>
  <c r="E369" i="39"/>
  <c r="E361" i="39"/>
  <c r="E353" i="39"/>
  <c r="E345" i="39"/>
  <c r="E337" i="39"/>
  <c r="E327" i="39"/>
  <c r="E319" i="39"/>
  <c r="E311" i="39"/>
  <c r="E303" i="39"/>
  <c r="E295" i="39"/>
  <c r="E287" i="39"/>
  <c r="E279" i="39"/>
  <c r="E271" i="39"/>
  <c r="E265" i="39"/>
  <c r="E257" i="39"/>
  <c r="E249" i="39"/>
  <c r="E241" i="39"/>
  <c r="E233" i="39"/>
  <c r="E225" i="39"/>
  <c r="E217" i="39"/>
  <c r="E209" i="39"/>
  <c r="E357" i="39"/>
  <c r="E299" i="39"/>
  <c r="E235" i="39"/>
  <c r="E373" i="39"/>
  <c r="E396" i="39"/>
  <c r="E392" i="39"/>
  <c r="E388" i="39"/>
  <c r="E384" i="39"/>
  <c r="E380" i="39"/>
  <c r="E376" i="39"/>
  <c r="E372" i="39"/>
  <c r="E368" i="39"/>
  <c r="E364" i="39"/>
  <c r="E360" i="39"/>
  <c r="E356" i="39"/>
  <c r="E352" i="39"/>
  <c r="E348" i="39"/>
  <c r="E315" i="39"/>
  <c r="E283" i="39"/>
  <c r="E251" i="39"/>
  <c r="E219" i="39"/>
  <c r="E381" i="39"/>
  <c r="E365" i="39"/>
  <c r="E349" i="39"/>
  <c r="E339" i="39"/>
  <c r="E323" i="39"/>
  <c r="E307" i="39"/>
  <c r="E291" i="39"/>
  <c r="E275" i="39"/>
  <c r="E259" i="39"/>
  <c r="E243" i="39"/>
  <c r="E227" i="39"/>
  <c r="E211" i="39"/>
  <c r="D235" i="15"/>
  <c r="D237" i="15"/>
  <c r="D239" i="15"/>
  <c r="D241" i="15"/>
  <c r="D243" i="15"/>
  <c r="E154" i="40" s="1"/>
  <c r="D245" i="15"/>
  <c r="D247" i="15"/>
  <c r="D249" i="15"/>
  <c r="D251" i="15"/>
  <c r="F251" i="15" s="1"/>
  <c r="D253" i="15"/>
  <c r="D255" i="15"/>
  <c r="E166" i="40" s="1"/>
  <c r="D257" i="15"/>
  <c r="D259" i="15"/>
  <c r="E170" i="40" s="1"/>
  <c r="D261" i="15"/>
  <c r="D263" i="15"/>
  <c r="E174" i="40" s="1"/>
  <c r="D265" i="15"/>
  <c r="D267" i="15"/>
  <c r="E178" i="40" s="1"/>
  <c r="D269" i="15"/>
  <c r="D271" i="15"/>
  <c r="E182" i="40" s="1"/>
  <c r="D273" i="15"/>
  <c r="D275" i="15"/>
  <c r="E186" i="40" s="1"/>
  <c r="D277" i="15"/>
  <c r="D279" i="15"/>
  <c r="E190" i="40" s="1"/>
  <c r="D281" i="15"/>
  <c r="D283" i="15"/>
  <c r="E194" i="40" s="1"/>
  <c r="D285" i="15"/>
  <c r="D287" i="15"/>
  <c r="E198" i="40" s="1"/>
  <c r="D289" i="15"/>
  <c r="D291" i="15"/>
  <c r="E202" i="40" s="1"/>
  <c r="D293" i="15"/>
  <c r="D295" i="15"/>
  <c r="E206" i="40" s="1"/>
  <c r="D297" i="15"/>
  <c r="D299" i="15"/>
  <c r="E210" i="40" s="1"/>
  <c r="D301" i="15"/>
  <c r="D303" i="15"/>
  <c r="E214" i="40" s="1"/>
  <c r="D305" i="15"/>
  <c r="D307" i="15"/>
  <c r="E218" i="40" s="1"/>
  <c r="D309" i="15"/>
  <c r="D311" i="15"/>
  <c r="E222" i="40" s="1"/>
  <c r="D313" i="15"/>
  <c r="D315" i="15"/>
  <c r="E226" i="40" s="1"/>
  <c r="D317" i="15"/>
  <c r="D319" i="15"/>
  <c r="E230" i="40" s="1"/>
  <c r="D321" i="15"/>
  <c r="D323" i="15"/>
  <c r="E234" i="40" s="1"/>
  <c r="D325" i="15"/>
  <c r="D327" i="15"/>
  <c r="E238" i="40" s="1"/>
  <c r="D329" i="15"/>
  <c r="D331" i="15"/>
  <c r="E242" i="40" s="1"/>
  <c r="D333" i="15"/>
  <c r="D335" i="15"/>
  <c r="E246" i="40" s="1"/>
  <c r="D337" i="15"/>
  <c r="D339" i="15"/>
  <c r="E250" i="40" s="1"/>
  <c r="D341" i="15"/>
  <c r="D343" i="15"/>
  <c r="E254" i="40" s="1"/>
  <c r="D345" i="15"/>
  <c r="D347" i="15"/>
  <c r="E258" i="40" s="1"/>
  <c r="D349" i="15"/>
  <c r="D351" i="15"/>
  <c r="E262" i="40" s="1"/>
  <c r="D353" i="15"/>
  <c r="D355" i="15"/>
  <c r="E266" i="40" s="1"/>
  <c r="D357" i="15"/>
  <c r="D359" i="15"/>
  <c r="E270" i="40" s="1"/>
  <c r="D361" i="15"/>
  <c r="D363" i="15"/>
  <c r="E274" i="40" s="1"/>
  <c r="D365" i="15"/>
  <c r="D367" i="15"/>
  <c r="E278" i="40" s="1"/>
  <c r="D369" i="15"/>
  <c r="D371" i="15"/>
  <c r="E282" i="40" s="1"/>
  <c r="D373" i="15"/>
  <c r="D375" i="15"/>
  <c r="E286" i="40" s="1"/>
  <c r="D377" i="15"/>
  <c r="D379" i="15"/>
  <c r="E290" i="40" s="1"/>
  <c r="D381" i="15"/>
  <c r="D383" i="15"/>
  <c r="E294" i="40" s="1"/>
  <c r="D385" i="15"/>
  <c r="D387" i="15"/>
  <c r="E298" i="40" s="1"/>
  <c r="D389" i="15"/>
  <c r="D391" i="15"/>
  <c r="E302" i="40" s="1"/>
  <c r="D393" i="15"/>
  <c r="D395" i="15"/>
  <c r="E306" i="40" s="1"/>
  <c r="D397" i="15"/>
  <c r="D399" i="15"/>
  <c r="E310" i="40" s="1"/>
  <c r="D401" i="15"/>
  <c r="D403" i="15"/>
  <c r="E314" i="40" s="1"/>
  <c r="D405" i="15"/>
  <c r="D407" i="15"/>
  <c r="E318" i="40" s="1"/>
  <c r="D409" i="15"/>
  <c r="D411" i="15"/>
  <c r="E322" i="40" s="1"/>
  <c r="D413" i="15"/>
  <c r="D415" i="15"/>
  <c r="E326" i="40" s="1"/>
  <c r="D417" i="15"/>
  <c r="D419" i="15"/>
  <c r="E330" i="40" s="1"/>
  <c r="D421" i="15"/>
  <c r="D423" i="15"/>
  <c r="E334" i="40" s="1"/>
  <c r="D425" i="15"/>
  <c r="D427" i="15"/>
  <c r="E338" i="40" s="1"/>
  <c r="D429" i="15"/>
  <c r="D431" i="15"/>
  <c r="E342" i="40" s="1"/>
  <c r="D433" i="15"/>
  <c r="D435" i="15"/>
  <c r="E346" i="40" s="1"/>
  <c r="D437" i="15"/>
  <c r="D439" i="15"/>
  <c r="E350" i="40" s="1"/>
  <c r="D441" i="15"/>
  <c r="D443" i="15"/>
  <c r="E354" i="40" s="1"/>
  <c r="D445" i="15"/>
  <c r="D447" i="15"/>
  <c r="D449" i="15"/>
  <c r="D451" i="15"/>
  <c r="D234" i="15"/>
  <c r="D236" i="15"/>
  <c r="D238" i="15"/>
  <c r="D240" i="15"/>
  <c r="D242" i="15"/>
  <c r="D244" i="15"/>
  <c r="E155" i="40" s="1"/>
  <c r="D246" i="15"/>
  <c r="D248" i="15"/>
  <c r="E159" i="40" s="1"/>
  <c r="D250" i="15"/>
  <c r="D252" i="15"/>
  <c r="D254" i="15"/>
  <c r="D256" i="15"/>
  <c r="D258" i="15"/>
  <c r="D260" i="15"/>
  <c r="D262" i="15"/>
  <c r="D266" i="15"/>
  <c r="E177" i="40" s="1"/>
  <c r="D270" i="15"/>
  <c r="D274" i="15"/>
  <c r="E185" i="40" s="1"/>
  <c r="D278" i="15"/>
  <c r="D282" i="15"/>
  <c r="E193" i="40" s="1"/>
  <c r="D286" i="15"/>
  <c r="D290" i="15"/>
  <c r="E201" i="40" s="1"/>
  <c r="D294" i="15"/>
  <c r="D298" i="15"/>
  <c r="E209" i="40" s="1"/>
  <c r="D302" i="15"/>
  <c r="D306" i="15"/>
  <c r="E217" i="40" s="1"/>
  <c r="D310" i="15"/>
  <c r="D314" i="15"/>
  <c r="E225" i="40" s="1"/>
  <c r="D318" i="15"/>
  <c r="D322" i="15"/>
  <c r="E233" i="40" s="1"/>
  <c r="D326" i="15"/>
  <c r="D330" i="15"/>
  <c r="E241" i="40" s="1"/>
  <c r="D334" i="15"/>
  <c r="D338" i="15"/>
  <c r="E249" i="40" s="1"/>
  <c r="D342" i="15"/>
  <c r="D346" i="15"/>
  <c r="E257" i="40" s="1"/>
  <c r="D350" i="15"/>
  <c r="D354" i="15"/>
  <c r="E265" i="40" s="1"/>
  <c r="D358" i="15"/>
  <c r="D362" i="15"/>
  <c r="E273" i="40" s="1"/>
  <c r="D366" i="15"/>
  <c r="D370" i="15"/>
  <c r="E281" i="40" s="1"/>
  <c r="D374" i="15"/>
  <c r="D378" i="15"/>
  <c r="E289" i="40" s="1"/>
  <c r="D382" i="15"/>
  <c r="D386" i="15"/>
  <c r="E297" i="40" s="1"/>
  <c r="D390" i="15"/>
  <c r="D394" i="15"/>
  <c r="E305" i="40" s="1"/>
  <c r="D398" i="15"/>
  <c r="D402" i="15"/>
  <c r="E313" i="40" s="1"/>
  <c r="D406" i="15"/>
  <c r="D410" i="15"/>
  <c r="E321" i="40" s="1"/>
  <c r="D414" i="15"/>
  <c r="D418" i="15"/>
  <c r="E329" i="40" s="1"/>
  <c r="D422" i="15"/>
  <c r="D426" i="15"/>
  <c r="E337" i="40" s="1"/>
  <c r="D430" i="15"/>
  <c r="D434" i="15"/>
  <c r="E345" i="40" s="1"/>
  <c r="D438" i="15"/>
  <c r="D442" i="15"/>
  <c r="E353" i="40" s="1"/>
  <c r="D446" i="15"/>
  <c r="D450" i="15"/>
  <c r="D264" i="15"/>
  <c r="D268" i="15"/>
  <c r="E179" i="40" s="1"/>
  <c r="D272" i="15"/>
  <c r="D276" i="15"/>
  <c r="E187" i="40" s="1"/>
  <c r="D280" i="15"/>
  <c r="D284" i="15"/>
  <c r="E195" i="40" s="1"/>
  <c r="D288" i="15"/>
  <c r="D292" i="15"/>
  <c r="D296" i="15"/>
  <c r="D300" i="15"/>
  <c r="E211" i="40" s="1"/>
  <c r="D304" i="15"/>
  <c r="D308" i="15"/>
  <c r="E219" i="40" s="1"/>
  <c r="D312" i="15"/>
  <c r="D316" i="15"/>
  <c r="E227" i="40" s="1"/>
  <c r="D320" i="15"/>
  <c r="D324" i="15"/>
  <c r="D328" i="15"/>
  <c r="D332" i="15"/>
  <c r="E243" i="40" s="1"/>
  <c r="D336" i="15"/>
  <c r="D340" i="15"/>
  <c r="E251" i="40" s="1"/>
  <c r="D344" i="15"/>
  <c r="D348" i="15"/>
  <c r="E259" i="40" s="1"/>
  <c r="D352" i="15"/>
  <c r="D356" i="15"/>
  <c r="D360" i="15"/>
  <c r="D364" i="15"/>
  <c r="E275" i="40" s="1"/>
  <c r="D368" i="15"/>
  <c r="D372" i="15"/>
  <c r="E283" i="40" s="1"/>
  <c r="D376" i="15"/>
  <c r="D380" i="15"/>
  <c r="E291" i="40" s="1"/>
  <c r="D384" i="15"/>
  <c r="D388" i="15"/>
  <c r="D392" i="15"/>
  <c r="D396" i="15"/>
  <c r="E307" i="40" s="1"/>
  <c r="D400" i="15"/>
  <c r="D404" i="15"/>
  <c r="E315" i="40" s="1"/>
  <c r="D408" i="15"/>
  <c r="D412" i="15"/>
  <c r="E323" i="40" s="1"/>
  <c r="D416" i="15"/>
  <c r="D420" i="15"/>
  <c r="D424" i="15"/>
  <c r="D428" i="15"/>
  <c r="E339" i="40" s="1"/>
  <c r="D432" i="15"/>
  <c r="D436" i="15"/>
  <c r="E347" i="40" s="1"/>
  <c r="D440" i="15"/>
  <c r="D444" i="15"/>
  <c r="D448" i="15"/>
  <c r="D233" i="15"/>
  <c r="E350" i="38"/>
  <c r="F469" i="31"/>
  <c r="E334" i="38"/>
  <c r="F453" i="31"/>
  <c r="E318" i="38"/>
  <c r="F437" i="31"/>
  <c r="E294" i="38"/>
  <c r="F413" i="31"/>
  <c r="E270" i="38"/>
  <c r="F389" i="31"/>
  <c r="E254" i="38"/>
  <c r="F373" i="31"/>
  <c r="E238" i="38"/>
  <c r="F357" i="31"/>
  <c r="E214" i="38"/>
  <c r="F333" i="31"/>
  <c r="E198" i="38"/>
  <c r="F317" i="31"/>
  <c r="E182" i="38"/>
  <c r="F301" i="31"/>
  <c r="E352" i="38"/>
  <c r="F471" i="31"/>
  <c r="E344" i="38"/>
  <c r="F463" i="31"/>
  <c r="E336" i="38"/>
  <c r="F455" i="31"/>
  <c r="E328" i="38"/>
  <c r="F447" i="31"/>
  <c r="E320" i="38"/>
  <c r="F439" i="31"/>
  <c r="E304" i="38"/>
  <c r="F423" i="31"/>
  <c r="E296" i="38"/>
  <c r="F415" i="31"/>
  <c r="E288" i="38"/>
  <c r="F407" i="31"/>
  <c r="E280" i="38"/>
  <c r="F399" i="31"/>
  <c r="E272" i="38"/>
  <c r="F391" i="31"/>
  <c r="E264" i="38"/>
  <c r="F383" i="31"/>
  <c r="E256" i="38"/>
  <c r="F375" i="31"/>
  <c r="E248" i="38"/>
  <c r="F367" i="31"/>
  <c r="E240" i="38"/>
  <c r="F359" i="31"/>
  <c r="E232" i="38"/>
  <c r="F351" i="31"/>
  <c r="E224" i="38"/>
  <c r="F343" i="31"/>
  <c r="E216" i="38"/>
  <c r="F335" i="31"/>
  <c r="E208" i="38"/>
  <c r="F327" i="31"/>
  <c r="E200" i="38"/>
  <c r="F319" i="31"/>
  <c r="E192" i="38"/>
  <c r="F311" i="31"/>
  <c r="E184" i="38"/>
  <c r="F303" i="31"/>
  <c r="D263" i="31"/>
  <c r="F263" i="31" s="1"/>
  <c r="F292" i="14"/>
  <c r="E359" i="38"/>
  <c r="F478" i="31"/>
  <c r="E355" i="38"/>
  <c r="F474" i="31"/>
  <c r="E351" i="38"/>
  <c r="F470" i="31"/>
  <c r="E347" i="38"/>
  <c r="F466" i="31"/>
  <c r="E343" i="38"/>
  <c r="F462" i="31"/>
  <c r="E339" i="38"/>
  <c r="F458" i="31"/>
  <c r="E335" i="38"/>
  <c r="F454" i="31"/>
  <c r="E331" i="38"/>
  <c r="F450" i="31"/>
  <c r="E327" i="38"/>
  <c r="F446" i="31"/>
  <c r="E323" i="38"/>
  <c r="F442" i="31"/>
  <c r="E319" i="38"/>
  <c r="F438" i="31"/>
  <c r="E315" i="38"/>
  <c r="F434" i="31"/>
  <c r="E311" i="38"/>
  <c r="F430" i="31"/>
  <c r="E307" i="38"/>
  <c r="F426" i="31"/>
  <c r="E303" i="38"/>
  <c r="F422" i="31"/>
  <c r="E299" i="38"/>
  <c r="F418" i="31"/>
  <c r="E295" i="38"/>
  <c r="F414" i="31"/>
  <c r="E291" i="38"/>
  <c r="F410" i="31"/>
  <c r="E287" i="38"/>
  <c r="F406" i="31"/>
  <c r="E283" i="38"/>
  <c r="F402" i="31"/>
  <c r="E279" i="38"/>
  <c r="F398" i="31"/>
  <c r="E275" i="38"/>
  <c r="F394" i="31"/>
  <c r="E271" i="38"/>
  <c r="F390" i="31"/>
  <c r="E267" i="38"/>
  <c r="F386" i="31"/>
  <c r="E263" i="38"/>
  <c r="F382" i="31"/>
  <c r="E259" i="38"/>
  <c r="F378" i="31"/>
  <c r="E255" i="38"/>
  <c r="F374" i="31"/>
  <c r="E251" i="38"/>
  <c r="F370" i="31"/>
  <c r="E247" i="38"/>
  <c r="F366" i="31"/>
  <c r="E243" i="38"/>
  <c r="F362" i="31"/>
  <c r="E239" i="38"/>
  <c r="F358" i="31"/>
  <c r="E235" i="38"/>
  <c r="F354" i="31"/>
  <c r="E231" i="38"/>
  <c r="F350" i="31"/>
  <c r="E227" i="38"/>
  <c r="F346" i="31"/>
  <c r="E223" i="38"/>
  <c r="F342" i="31"/>
  <c r="E219" i="38"/>
  <c r="F338" i="31"/>
  <c r="E215" i="38"/>
  <c r="F334" i="31"/>
  <c r="E211" i="38"/>
  <c r="F330" i="31"/>
  <c r="E207" i="38"/>
  <c r="F326" i="31"/>
  <c r="E203" i="38"/>
  <c r="F322" i="31"/>
  <c r="E199" i="38"/>
  <c r="F318" i="31"/>
  <c r="E195" i="38"/>
  <c r="F314" i="31"/>
  <c r="E191" i="38"/>
  <c r="F310" i="31"/>
  <c r="E187" i="38"/>
  <c r="F306" i="31"/>
  <c r="E183" i="38"/>
  <c r="F302" i="31"/>
  <c r="E163" i="38"/>
  <c r="F282" i="31"/>
  <c r="D278" i="31"/>
  <c r="E159" i="38" s="1"/>
  <c r="E196" i="39"/>
  <c r="D274" i="31"/>
  <c r="E155" i="38" s="1"/>
  <c r="E192" i="39"/>
  <c r="E358" i="38"/>
  <c r="F477" i="31"/>
  <c r="E342" i="38"/>
  <c r="F461" i="31"/>
  <c r="E326" i="38"/>
  <c r="F445" i="31"/>
  <c r="E310" i="38"/>
  <c r="F429" i="31"/>
  <c r="E302" i="38"/>
  <c r="F421" i="31"/>
  <c r="E286" i="38"/>
  <c r="F405" i="31"/>
  <c r="E278" i="38"/>
  <c r="F397" i="31"/>
  <c r="E262" i="38"/>
  <c r="F381" i="31"/>
  <c r="E246" i="38"/>
  <c r="F365" i="31"/>
  <c r="E230" i="38"/>
  <c r="F349" i="31"/>
  <c r="E222" i="38"/>
  <c r="F341" i="31"/>
  <c r="E206" i="38"/>
  <c r="F325" i="31"/>
  <c r="E190" i="38"/>
  <c r="F309" i="31"/>
  <c r="E360" i="38"/>
  <c r="F479" i="31"/>
  <c r="E312" i="38"/>
  <c r="F431" i="31"/>
  <c r="E395" i="39"/>
  <c r="E387" i="39"/>
  <c r="E379" i="39"/>
  <c r="E371" i="39"/>
  <c r="E363" i="39"/>
  <c r="E355" i="39"/>
  <c r="E347" i="39"/>
  <c r="E341" i="39"/>
  <c r="E333" i="39"/>
  <c r="E325" i="39"/>
  <c r="E317" i="39"/>
  <c r="E309" i="39"/>
  <c r="E301" i="39"/>
  <c r="E293" i="39"/>
  <c r="E285" i="39"/>
  <c r="E277" i="39"/>
  <c r="E269" i="39"/>
  <c r="E261" i="39"/>
  <c r="E253" i="39"/>
  <c r="E245" i="39"/>
  <c r="E237" i="39"/>
  <c r="E229" i="39"/>
  <c r="E221" i="39"/>
  <c r="E213" i="39"/>
  <c r="E205" i="39"/>
  <c r="E362" i="38"/>
  <c r="F481" i="31"/>
  <c r="E354" i="38"/>
  <c r="F473" i="31"/>
  <c r="E346" i="38"/>
  <c r="F465" i="31"/>
  <c r="E338" i="38"/>
  <c r="F457" i="31"/>
  <c r="E330" i="38"/>
  <c r="F449" i="31"/>
  <c r="E322" i="38"/>
  <c r="F441" i="31"/>
  <c r="E314" i="38"/>
  <c r="F433" i="31"/>
  <c r="E306" i="38"/>
  <c r="F425" i="31"/>
  <c r="E298" i="38"/>
  <c r="F417" i="31"/>
  <c r="E290" i="38"/>
  <c r="F409" i="31"/>
  <c r="E282" i="38"/>
  <c r="F401" i="31"/>
  <c r="E274" i="38"/>
  <c r="F393" i="31"/>
  <c r="E266" i="38"/>
  <c r="F385" i="31"/>
  <c r="E258" i="38"/>
  <c r="F377" i="31"/>
  <c r="E250" i="38"/>
  <c r="F369" i="31"/>
  <c r="E242" i="38"/>
  <c r="F361" i="31"/>
  <c r="E234" i="38"/>
  <c r="F353" i="31"/>
  <c r="E226" i="38"/>
  <c r="F345" i="31"/>
  <c r="E218" i="38"/>
  <c r="F337" i="31"/>
  <c r="E210" i="38"/>
  <c r="F329" i="31"/>
  <c r="E202" i="38"/>
  <c r="F321" i="31"/>
  <c r="E194" i="38"/>
  <c r="F313" i="31"/>
  <c r="E186" i="38"/>
  <c r="F305" i="31"/>
  <c r="E356" i="38"/>
  <c r="F475" i="31"/>
  <c r="E348" i="38"/>
  <c r="F467" i="31"/>
  <c r="E340" i="38"/>
  <c r="F459" i="31"/>
  <c r="E332" i="38"/>
  <c r="F451" i="31"/>
  <c r="E324" i="38"/>
  <c r="F443" i="31"/>
  <c r="E316" i="38"/>
  <c r="F435" i="31"/>
  <c r="E308" i="38"/>
  <c r="F427" i="31"/>
  <c r="E300" i="38"/>
  <c r="F419" i="31"/>
  <c r="E292" i="38"/>
  <c r="F411" i="31"/>
  <c r="E284" i="38"/>
  <c r="F403" i="31"/>
  <c r="E276" i="38"/>
  <c r="F395" i="31"/>
  <c r="E268" i="38"/>
  <c r="F387" i="31"/>
  <c r="E260" i="38"/>
  <c r="F379" i="31"/>
  <c r="E252" i="38"/>
  <c r="F371" i="31"/>
  <c r="E244" i="38"/>
  <c r="F363" i="31"/>
  <c r="E236" i="38"/>
  <c r="F355" i="31"/>
  <c r="E228" i="38"/>
  <c r="F347" i="31"/>
  <c r="E220" i="38"/>
  <c r="F339" i="31"/>
  <c r="E212" i="38"/>
  <c r="F331" i="31"/>
  <c r="E204" i="38"/>
  <c r="F323" i="31"/>
  <c r="E196" i="38"/>
  <c r="F315" i="31"/>
  <c r="E188" i="38"/>
  <c r="F307" i="31"/>
  <c r="E164" i="38"/>
  <c r="F283" i="31"/>
  <c r="E361" i="38"/>
  <c r="F480" i="31"/>
  <c r="E357" i="38"/>
  <c r="F476" i="31"/>
  <c r="E353" i="38"/>
  <c r="F472" i="31"/>
  <c r="E349" i="38"/>
  <c r="F468" i="31"/>
  <c r="E345" i="38"/>
  <c r="F464" i="31"/>
  <c r="E341" i="38"/>
  <c r="F460" i="31"/>
  <c r="E337" i="38"/>
  <c r="F456" i="31"/>
  <c r="E333" i="38"/>
  <c r="F452" i="31"/>
  <c r="E329" i="38"/>
  <c r="F448" i="31"/>
  <c r="E325" i="38"/>
  <c r="F444" i="31"/>
  <c r="E321" i="38"/>
  <c r="F440" i="31"/>
  <c r="E317" i="38"/>
  <c r="F436" i="31"/>
  <c r="E313" i="38"/>
  <c r="F432" i="31"/>
  <c r="E309" i="38"/>
  <c r="F428" i="31"/>
  <c r="E305" i="38"/>
  <c r="F424" i="31"/>
  <c r="E301" i="38"/>
  <c r="F420" i="31"/>
  <c r="E297" i="38"/>
  <c r="F416" i="31"/>
  <c r="E293" i="38"/>
  <c r="F412" i="31"/>
  <c r="E289" i="38"/>
  <c r="F408" i="31"/>
  <c r="E285" i="38"/>
  <c r="F404" i="31"/>
  <c r="E281" i="38"/>
  <c r="F400" i="31"/>
  <c r="E277" i="38"/>
  <c r="F396" i="31"/>
  <c r="E273" i="38"/>
  <c r="F392" i="31"/>
  <c r="E269" i="38"/>
  <c r="F388" i="31"/>
  <c r="E265" i="38"/>
  <c r="F384" i="31"/>
  <c r="E261" i="38"/>
  <c r="F380" i="31"/>
  <c r="E257" i="38"/>
  <c r="F376" i="31"/>
  <c r="E253" i="38"/>
  <c r="F372" i="31"/>
  <c r="E249" i="38"/>
  <c r="F368" i="31"/>
  <c r="E245" i="38"/>
  <c r="F364" i="31"/>
  <c r="E241" i="38"/>
  <c r="F360" i="31"/>
  <c r="E237" i="38"/>
  <c r="F356" i="31"/>
  <c r="E233" i="38"/>
  <c r="F352" i="31"/>
  <c r="E229" i="38"/>
  <c r="F348" i="31"/>
  <c r="E225" i="38"/>
  <c r="F344" i="31"/>
  <c r="E221" i="38"/>
  <c r="F340" i="31"/>
  <c r="E217" i="38"/>
  <c r="F336" i="31"/>
  <c r="E213" i="38"/>
  <c r="F332" i="31"/>
  <c r="E209" i="38"/>
  <c r="F328" i="31"/>
  <c r="E205" i="38"/>
  <c r="F324" i="31"/>
  <c r="E201" i="38"/>
  <c r="F320" i="31"/>
  <c r="E197" i="38"/>
  <c r="F316" i="31"/>
  <c r="E193" i="38"/>
  <c r="F312" i="31"/>
  <c r="E189" i="38"/>
  <c r="F308" i="31"/>
  <c r="E185" i="38"/>
  <c r="F304" i="31"/>
  <c r="E181" i="38"/>
  <c r="F300" i="31"/>
  <c r="D280" i="31"/>
  <c r="E161" i="38" s="1"/>
  <c r="E198" i="39"/>
  <c r="E157" i="38"/>
  <c r="F276" i="31"/>
  <c r="D262" i="31"/>
  <c r="F291" i="14"/>
  <c r="D261" i="31"/>
  <c r="F290" i="14"/>
  <c r="F255" i="31"/>
  <c r="E8" i="37" s="1"/>
  <c r="D232" i="15"/>
  <c r="D231" i="15"/>
  <c r="F296" i="14"/>
  <c r="F264" i="31"/>
  <c r="E379" i="38"/>
  <c r="E375" i="38"/>
  <c r="E378" i="38"/>
  <c r="E374" i="38"/>
  <c r="E380" i="38"/>
  <c r="F266" i="31"/>
  <c r="E371" i="38"/>
  <c r="E377" i="38"/>
  <c r="E373" i="38"/>
  <c r="E376" i="38"/>
  <c r="E372" i="38"/>
  <c r="E381" i="38"/>
  <c r="E382" i="38"/>
  <c r="E410" i="39"/>
  <c r="F293" i="14"/>
  <c r="E182" i="39"/>
  <c r="F304" i="14"/>
  <c r="E193" i="39"/>
  <c r="E409" i="39"/>
  <c r="E417" i="39"/>
  <c r="E413" i="39"/>
  <c r="E416" i="39"/>
  <c r="F305" i="14"/>
  <c r="E194" i="39"/>
  <c r="E412" i="39"/>
  <c r="E408" i="39"/>
  <c r="F295" i="14"/>
  <c r="E184" i="39"/>
  <c r="E411" i="39"/>
  <c r="E419" i="39"/>
  <c r="E415" i="39"/>
  <c r="E418" i="39"/>
  <c r="E414" i="39"/>
  <c r="E148" i="40"/>
  <c r="E118" i="40"/>
  <c r="E114" i="40"/>
  <c r="E110" i="40"/>
  <c r="F222" i="15"/>
  <c r="E106" i="40"/>
  <c r="F217" i="15"/>
  <c r="E117" i="40"/>
  <c r="E113" i="40"/>
  <c r="E109" i="40"/>
  <c r="F221" i="15"/>
  <c r="E105" i="40"/>
  <c r="F216" i="15"/>
  <c r="E168" i="40"/>
  <c r="E172" i="40"/>
  <c r="E176" i="40"/>
  <c r="E180" i="40"/>
  <c r="E184" i="40"/>
  <c r="E188" i="40"/>
  <c r="E192" i="40"/>
  <c r="E196" i="40"/>
  <c r="E200" i="40"/>
  <c r="E204" i="40"/>
  <c r="E208" i="40"/>
  <c r="E212" i="40"/>
  <c r="E216" i="40"/>
  <c r="E220" i="40"/>
  <c r="E224" i="40"/>
  <c r="E228" i="40"/>
  <c r="E232" i="40"/>
  <c r="E236" i="40"/>
  <c r="E240" i="40"/>
  <c r="E244" i="40"/>
  <c r="E248" i="40"/>
  <c r="E252" i="40"/>
  <c r="E256" i="40"/>
  <c r="E260" i="40"/>
  <c r="E264" i="40"/>
  <c r="E268" i="40"/>
  <c r="E272" i="40"/>
  <c r="E276" i="40"/>
  <c r="E280" i="40"/>
  <c r="E284" i="40"/>
  <c r="E288" i="40"/>
  <c r="E292" i="40"/>
  <c r="E296" i="40"/>
  <c r="E300" i="40"/>
  <c r="E304" i="40"/>
  <c r="E308" i="40"/>
  <c r="E312" i="40"/>
  <c r="E167" i="40"/>
  <c r="E169" i="40"/>
  <c r="E171" i="40"/>
  <c r="E173" i="40"/>
  <c r="E175" i="40"/>
  <c r="E181" i="40"/>
  <c r="E183" i="40"/>
  <c r="E189" i="40"/>
  <c r="E191" i="40"/>
  <c r="E197" i="40"/>
  <c r="E199" i="40"/>
  <c r="E203" i="40"/>
  <c r="E205" i="40"/>
  <c r="E207" i="40"/>
  <c r="E213" i="40"/>
  <c r="E215" i="40"/>
  <c r="E221" i="40"/>
  <c r="E223" i="40"/>
  <c r="E229" i="40"/>
  <c r="E231" i="40"/>
  <c r="E235" i="40"/>
  <c r="E237" i="40"/>
  <c r="E239" i="40"/>
  <c r="E245" i="40"/>
  <c r="E247" i="40"/>
  <c r="E253" i="40"/>
  <c r="E255" i="40"/>
  <c r="E261" i="40"/>
  <c r="E263" i="40"/>
  <c r="E267" i="40"/>
  <c r="E269" i="40"/>
  <c r="E271" i="40"/>
  <c r="E277" i="40"/>
  <c r="E279" i="40"/>
  <c r="E285" i="40"/>
  <c r="E287" i="40"/>
  <c r="E293" i="40"/>
  <c r="E295" i="40"/>
  <c r="E299" i="40"/>
  <c r="E301" i="40"/>
  <c r="E303" i="40"/>
  <c r="E309" i="40"/>
  <c r="E311" i="40"/>
  <c r="E316" i="40"/>
  <c r="E320" i="40"/>
  <c r="E324" i="40"/>
  <c r="E328" i="40"/>
  <c r="E332" i="40"/>
  <c r="E336" i="40"/>
  <c r="E340" i="40"/>
  <c r="E344" i="40"/>
  <c r="E348" i="40"/>
  <c r="E352" i="40"/>
  <c r="E364" i="40"/>
  <c r="E366" i="40"/>
  <c r="E368" i="40"/>
  <c r="E370" i="40"/>
  <c r="E317" i="40"/>
  <c r="E319" i="40"/>
  <c r="E325" i="40"/>
  <c r="E327" i="40"/>
  <c r="E331" i="40"/>
  <c r="E333" i="40"/>
  <c r="E335" i="40"/>
  <c r="E341" i="40"/>
  <c r="E343" i="40"/>
  <c r="E349" i="40"/>
  <c r="E351" i="40"/>
  <c r="E363" i="40"/>
  <c r="E365" i="40"/>
  <c r="E367" i="40"/>
  <c r="E369" i="40"/>
  <c r="E116" i="40"/>
  <c r="E112" i="40"/>
  <c r="F224" i="15"/>
  <c r="E108" i="40"/>
  <c r="F220" i="15"/>
  <c r="E119" i="40"/>
  <c r="E115" i="40"/>
  <c r="E111" i="40"/>
  <c r="F223" i="15"/>
  <c r="E107" i="40"/>
  <c r="F218" i="15"/>
  <c r="F283" i="14"/>
  <c r="E158" i="39"/>
  <c r="F279" i="14"/>
  <c r="E154" i="39"/>
  <c r="F275" i="14"/>
  <c r="E150" i="39"/>
  <c r="F271" i="14"/>
  <c r="E146" i="39"/>
  <c r="F266" i="14"/>
  <c r="F282" i="14"/>
  <c r="E157" i="39"/>
  <c r="F278" i="14"/>
  <c r="E153" i="39"/>
  <c r="F274" i="14"/>
  <c r="E149" i="39"/>
  <c r="E145" i="39"/>
  <c r="F265" i="14"/>
  <c r="E405" i="39"/>
  <c r="E401" i="39"/>
  <c r="E397" i="39"/>
  <c r="F508" i="14"/>
  <c r="E406" i="39"/>
  <c r="E402" i="39"/>
  <c r="E398" i="39"/>
  <c r="F509" i="14"/>
  <c r="F281" i="14"/>
  <c r="E156" i="39"/>
  <c r="F277" i="14"/>
  <c r="E152" i="39"/>
  <c r="F273" i="14"/>
  <c r="E148" i="39"/>
  <c r="F269" i="14"/>
  <c r="F264" i="14"/>
  <c r="F280" i="14"/>
  <c r="E155" i="39"/>
  <c r="F276" i="14"/>
  <c r="E151" i="39"/>
  <c r="F272" i="14"/>
  <c r="E147" i="39"/>
  <c r="F267" i="14"/>
  <c r="E407" i="39"/>
  <c r="E403" i="39"/>
  <c r="F510" i="14"/>
  <c r="E399" i="39"/>
  <c r="E404" i="39"/>
  <c r="E400" i="39"/>
  <c r="E363" i="38"/>
  <c r="E370" i="38"/>
  <c r="E369" i="38"/>
  <c r="F313" i="14"/>
  <c r="F316" i="14"/>
  <c r="F315" i="14"/>
  <c r="E165" i="40"/>
  <c r="E160" i="40"/>
  <c r="E149" i="40"/>
  <c r="F203" i="15"/>
  <c r="F207" i="15"/>
  <c r="F202" i="15"/>
  <c r="F206" i="15"/>
  <c r="E85" i="40"/>
  <c r="F205" i="15"/>
  <c r="F214" i="15"/>
  <c r="F204" i="15"/>
  <c r="F208" i="15"/>
  <c r="F505" i="14"/>
  <c r="F501" i="14"/>
  <c r="F497" i="14"/>
  <c r="F493" i="14"/>
  <c r="F504" i="14"/>
  <c r="F500" i="14"/>
  <c r="F496" i="14"/>
  <c r="F507" i="14"/>
  <c r="F503" i="14"/>
  <c r="F499" i="14"/>
  <c r="F495" i="14"/>
  <c r="F506" i="14"/>
  <c r="F502" i="14"/>
  <c r="F498" i="14"/>
  <c r="F494" i="14"/>
  <c r="F297" i="14"/>
  <c r="F302" i="14"/>
  <c r="F308" i="14"/>
  <c r="F314" i="14"/>
  <c r="F258" i="14"/>
  <c r="F301" i="14"/>
  <c r="E190" i="39"/>
  <c r="F298" i="14"/>
  <c r="E187" i="39"/>
  <c r="F484" i="14"/>
  <c r="F470" i="14"/>
  <c r="F454" i="14"/>
  <c r="F263" i="14"/>
  <c r="F294" i="14"/>
  <c r="E183" i="39"/>
  <c r="F299" i="14"/>
  <c r="E188" i="39"/>
  <c r="F300" i="14"/>
  <c r="E189" i="39"/>
  <c r="F306" i="14"/>
  <c r="E195" i="39"/>
  <c r="F488" i="14"/>
  <c r="F480" i="14"/>
  <c r="F474" i="14"/>
  <c r="F464" i="14"/>
  <c r="F458" i="14"/>
  <c r="F450" i="14"/>
  <c r="F442" i="14"/>
  <c r="F436" i="14"/>
  <c r="F489" i="14"/>
  <c r="F485" i="14"/>
  <c r="F481" i="14"/>
  <c r="F477" i="14"/>
  <c r="F473" i="14"/>
  <c r="F469" i="14"/>
  <c r="F465" i="14"/>
  <c r="F461" i="14"/>
  <c r="F457" i="14"/>
  <c r="F453" i="14"/>
  <c r="F449" i="14"/>
  <c r="F445" i="14"/>
  <c r="F441" i="14"/>
  <c r="F437" i="14"/>
  <c r="F433" i="14"/>
  <c r="F486" i="14"/>
  <c r="F476" i="14"/>
  <c r="F468" i="14"/>
  <c r="F460" i="14"/>
  <c r="F452" i="14"/>
  <c r="F444" i="14"/>
  <c r="F434" i="14"/>
  <c r="F262" i="14"/>
  <c r="F260" i="14"/>
  <c r="F492" i="14"/>
  <c r="F478" i="14"/>
  <c r="F462" i="14"/>
  <c r="F446" i="14"/>
  <c r="F440" i="14"/>
  <c r="F491" i="14"/>
  <c r="F487" i="14"/>
  <c r="F483" i="14"/>
  <c r="F479" i="14"/>
  <c r="F475" i="14"/>
  <c r="F471" i="14"/>
  <c r="F467" i="14"/>
  <c r="F463" i="14"/>
  <c r="F459" i="14"/>
  <c r="F455" i="14"/>
  <c r="F451" i="14"/>
  <c r="F447" i="14"/>
  <c r="F443" i="14"/>
  <c r="F439" i="14"/>
  <c r="F435" i="14"/>
  <c r="E199" i="39"/>
  <c r="F490" i="14"/>
  <c r="F482" i="14"/>
  <c r="F472" i="14"/>
  <c r="F466" i="14"/>
  <c r="F456" i="14"/>
  <c r="F448" i="14"/>
  <c r="F438" i="14"/>
  <c r="F261" i="14"/>
  <c r="F392" i="14"/>
  <c r="F388" i="14"/>
  <c r="F384" i="14"/>
  <c r="F380" i="14"/>
  <c r="F376" i="14"/>
  <c r="F372" i="14"/>
  <c r="F368" i="14"/>
  <c r="F364" i="14"/>
  <c r="F360" i="14"/>
  <c r="F356" i="14"/>
  <c r="F352" i="14"/>
  <c r="F400" i="14"/>
  <c r="F396" i="14"/>
  <c r="F408" i="14"/>
  <c r="F404" i="14"/>
  <c r="F417" i="14"/>
  <c r="F413" i="14"/>
  <c r="F409" i="14"/>
  <c r="F420" i="14"/>
  <c r="F430" i="14"/>
  <c r="F426" i="14"/>
  <c r="F389" i="14"/>
  <c r="F385" i="14"/>
  <c r="F381" i="14"/>
  <c r="F377" i="14"/>
  <c r="F373" i="14"/>
  <c r="F369" i="14"/>
  <c r="F365" i="14"/>
  <c r="F361" i="14"/>
  <c r="F357" i="14"/>
  <c r="F353" i="14"/>
  <c r="F401" i="14"/>
  <c r="F397" i="14"/>
  <c r="F393" i="14"/>
  <c r="F405" i="14"/>
  <c r="F418" i="14"/>
  <c r="F414" i="14"/>
  <c r="F410" i="14"/>
  <c r="F421" i="14"/>
  <c r="F431" i="14"/>
  <c r="F427" i="14"/>
  <c r="F257" i="14"/>
  <c r="F390" i="14"/>
  <c r="F386" i="14"/>
  <c r="F382" i="14"/>
  <c r="F378" i="14"/>
  <c r="F374" i="14"/>
  <c r="F370" i="14"/>
  <c r="F366" i="14"/>
  <c r="F362" i="14"/>
  <c r="F358" i="14"/>
  <c r="F354" i="14"/>
  <c r="F350" i="14"/>
  <c r="F398" i="14"/>
  <c r="F394" i="14"/>
  <c r="F406" i="14"/>
  <c r="F402" i="14"/>
  <c r="F415" i="14"/>
  <c r="F411" i="14"/>
  <c r="F422" i="14"/>
  <c r="F432" i="14"/>
  <c r="F428" i="14"/>
  <c r="F424" i="14"/>
  <c r="F391" i="14"/>
  <c r="F387" i="14"/>
  <c r="F383" i="14"/>
  <c r="F379" i="14"/>
  <c r="F375" i="14"/>
  <c r="F371" i="14"/>
  <c r="F367" i="14"/>
  <c r="F363" i="14"/>
  <c r="F359" i="14"/>
  <c r="F355" i="14"/>
  <c r="F351" i="14"/>
  <c r="F399" i="14"/>
  <c r="F395" i="14"/>
  <c r="F407" i="14"/>
  <c r="F403" i="14"/>
  <c r="F416" i="14"/>
  <c r="F412" i="14"/>
  <c r="F423" i="14"/>
  <c r="F419" i="14"/>
  <c r="F429" i="14"/>
  <c r="F425" i="14"/>
  <c r="G186" i="15"/>
  <c r="G23" i="37" s="1"/>
  <c r="F287" i="31"/>
  <c r="F279" i="31"/>
  <c r="F285" i="31"/>
  <c r="F280" i="31"/>
  <c r="F286" i="31"/>
  <c r="F284" i="31"/>
  <c r="E181" i="39"/>
  <c r="F348" i="14"/>
  <c r="F344" i="14"/>
  <c r="F340" i="14"/>
  <c r="F336" i="14"/>
  <c r="F332" i="14"/>
  <c r="F328" i="14"/>
  <c r="F324" i="14"/>
  <c r="F320" i="14"/>
  <c r="F349" i="14"/>
  <c r="F345" i="14"/>
  <c r="F341" i="14"/>
  <c r="F337" i="14"/>
  <c r="F333" i="14"/>
  <c r="F329" i="14"/>
  <c r="F325" i="14"/>
  <c r="F321" i="14"/>
  <c r="F318" i="14"/>
  <c r="F346" i="14"/>
  <c r="F342" i="14"/>
  <c r="F338" i="14"/>
  <c r="F334" i="14"/>
  <c r="F330" i="14"/>
  <c r="F326" i="14"/>
  <c r="F322" i="14"/>
  <c r="F317" i="14"/>
  <c r="F347" i="14"/>
  <c r="F343" i="14"/>
  <c r="F339" i="14"/>
  <c r="F335" i="14"/>
  <c r="F331" i="14"/>
  <c r="F327" i="14"/>
  <c r="F323" i="14"/>
  <c r="F319" i="14"/>
  <c r="F299" i="31"/>
  <c r="F295" i="31"/>
  <c r="F291" i="31"/>
  <c r="F298" i="31"/>
  <c r="F294" i="31"/>
  <c r="F289" i="31"/>
  <c r="F297" i="31"/>
  <c r="F293" i="31"/>
  <c r="F290" i="31"/>
  <c r="F296" i="31"/>
  <c r="F292" i="31"/>
  <c r="F265" i="31"/>
  <c r="F267" i="31"/>
  <c r="F268" i="31"/>
  <c r="F272" i="31"/>
  <c r="F269" i="31"/>
  <c r="F273" i="31"/>
  <c r="F288" i="31"/>
  <c r="E144" i="38" l="1"/>
  <c r="F278" i="31"/>
  <c r="E142" i="38"/>
  <c r="F261" i="31"/>
  <c r="E143" i="38"/>
  <c r="F262" i="31"/>
  <c r="F232" i="15"/>
  <c r="E143" i="40"/>
  <c r="F231" i="15"/>
  <c r="E142" i="40"/>
  <c r="F284" i="14"/>
  <c r="F399" i="15"/>
  <c r="F274" i="31"/>
  <c r="F394" i="15"/>
  <c r="F275" i="31"/>
  <c r="E147" i="40"/>
  <c r="F236" i="15"/>
  <c r="E157" i="40"/>
  <c r="F246" i="15"/>
  <c r="E381" i="40"/>
  <c r="E377" i="40"/>
  <c r="E373" i="40"/>
  <c r="E156" i="40"/>
  <c r="F245" i="15"/>
  <c r="E382" i="40"/>
  <c r="E378" i="40"/>
  <c r="E374" i="40"/>
  <c r="E145" i="40"/>
  <c r="F234" i="15"/>
  <c r="E379" i="40"/>
  <c r="E375" i="40"/>
  <c r="E371" i="40"/>
  <c r="E380" i="40"/>
  <c r="E376" i="40"/>
  <c r="E372" i="40"/>
  <c r="F271" i="31"/>
  <c r="F237" i="15"/>
  <c r="F238" i="15"/>
  <c r="F249" i="15"/>
  <c r="F448" i="15"/>
  <c r="E359" i="40"/>
  <c r="F444" i="15"/>
  <c r="E355" i="40"/>
  <c r="E362" i="40"/>
  <c r="F451" i="15"/>
  <c r="E358" i="40"/>
  <c r="F447" i="15"/>
  <c r="F450" i="15"/>
  <c r="E361" i="40"/>
  <c r="F446" i="15"/>
  <c r="E357" i="40"/>
  <c r="E360" i="40"/>
  <c r="F449" i="15"/>
  <c r="E356" i="40"/>
  <c r="F445" i="15"/>
  <c r="F281" i="31"/>
  <c r="F384" i="15"/>
  <c r="F381" i="15"/>
  <c r="F392" i="15"/>
  <c r="F376" i="15"/>
  <c r="F391" i="15"/>
  <c r="F372" i="15"/>
  <c r="F254" i="15"/>
  <c r="F385" i="15"/>
  <c r="F248" i="15"/>
  <c r="F396" i="15"/>
  <c r="F388" i="15"/>
  <c r="F380" i="15"/>
  <c r="F373" i="15"/>
  <c r="F397" i="15"/>
  <c r="F389" i="15"/>
  <c r="F383" i="15"/>
  <c r="F375" i="15"/>
  <c r="F386" i="15"/>
  <c r="F393" i="15"/>
  <c r="F377" i="15"/>
  <c r="F239" i="15"/>
  <c r="E150" i="40"/>
  <c r="F242" i="15"/>
  <c r="E153" i="40"/>
  <c r="F250" i="15"/>
  <c r="E161" i="40"/>
  <c r="F241" i="15"/>
  <c r="E152" i="40"/>
  <c r="F247" i="15"/>
  <c r="E158" i="40"/>
  <c r="F215" i="15"/>
  <c r="E162" i="40"/>
  <c r="F430" i="15"/>
  <c r="F426" i="15"/>
  <c r="F419" i="15"/>
  <c r="F411" i="15"/>
  <c r="F403" i="15"/>
  <c r="F363" i="15"/>
  <c r="F355" i="15"/>
  <c r="F347" i="15"/>
  <c r="F339" i="15"/>
  <c r="F331" i="15"/>
  <c r="F323" i="15"/>
  <c r="F315" i="15"/>
  <c r="F307" i="15"/>
  <c r="F299" i="15"/>
  <c r="F291" i="15"/>
  <c r="F283" i="15"/>
  <c r="F275" i="15"/>
  <c r="F267" i="15"/>
  <c r="F259" i="15"/>
  <c r="F433" i="15"/>
  <c r="F429" i="15"/>
  <c r="F425" i="15"/>
  <c r="F417" i="15"/>
  <c r="F409" i="15"/>
  <c r="F401" i="15"/>
  <c r="F369" i="15"/>
  <c r="F361" i="15"/>
  <c r="F353" i="15"/>
  <c r="F345" i="15"/>
  <c r="F337" i="15"/>
  <c r="F329" i="15"/>
  <c r="F321" i="15"/>
  <c r="F313" i="15"/>
  <c r="F305" i="15"/>
  <c r="F297" i="15"/>
  <c r="F289" i="15"/>
  <c r="F281" i="15"/>
  <c r="F273" i="15"/>
  <c r="F265" i="15"/>
  <c r="F257" i="15"/>
  <c r="F422" i="15"/>
  <c r="F418" i="15"/>
  <c r="F414" i="15"/>
  <c r="F410" i="15"/>
  <c r="F406" i="15"/>
  <c r="F402" i="15"/>
  <c r="F370" i="15"/>
  <c r="F366" i="15"/>
  <c r="F362" i="15"/>
  <c r="F358" i="15"/>
  <c r="F354" i="15"/>
  <c r="F350" i="15"/>
  <c r="F346" i="15"/>
  <c r="F342" i="15"/>
  <c r="F338" i="15"/>
  <c r="F334" i="15"/>
  <c r="F330" i="15"/>
  <c r="F326" i="15"/>
  <c r="F322" i="15"/>
  <c r="F318" i="15"/>
  <c r="F314" i="15"/>
  <c r="F310" i="15"/>
  <c r="F306" i="15"/>
  <c r="F302" i="15"/>
  <c r="F298" i="15"/>
  <c r="F294" i="15"/>
  <c r="F290" i="15"/>
  <c r="F286" i="15"/>
  <c r="F282" i="15"/>
  <c r="F278" i="15"/>
  <c r="F274" i="15"/>
  <c r="F270" i="15"/>
  <c r="F266" i="15"/>
  <c r="F262" i="15"/>
  <c r="F258" i="15"/>
  <c r="F443" i="15"/>
  <c r="F439" i="15"/>
  <c r="F435" i="15"/>
  <c r="F440" i="15"/>
  <c r="F436" i="15"/>
  <c r="F235" i="15"/>
  <c r="E146" i="40"/>
  <c r="F240" i="15"/>
  <c r="E151" i="40"/>
  <c r="F244" i="15"/>
  <c r="F398" i="15"/>
  <c r="F390" i="15"/>
  <c r="F382" i="15"/>
  <c r="F378" i="15"/>
  <c r="F374" i="15"/>
  <c r="F371" i="15"/>
  <c r="F243" i="15"/>
  <c r="F395" i="15"/>
  <c r="F387" i="15"/>
  <c r="F379" i="15"/>
  <c r="F209" i="15"/>
  <c r="F432" i="15"/>
  <c r="F428" i="15"/>
  <c r="F423" i="15"/>
  <c r="F415" i="15"/>
  <c r="F407" i="15"/>
  <c r="F367" i="15"/>
  <c r="F359" i="15"/>
  <c r="F351" i="15"/>
  <c r="F343" i="15"/>
  <c r="F335" i="15"/>
  <c r="F327" i="15"/>
  <c r="F319" i="15"/>
  <c r="F311" i="15"/>
  <c r="F303" i="15"/>
  <c r="F295" i="15"/>
  <c r="F287" i="15"/>
  <c r="F279" i="15"/>
  <c r="F271" i="15"/>
  <c r="F263" i="15"/>
  <c r="F255" i="15"/>
  <c r="F431" i="15"/>
  <c r="F427" i="15"/>
  <c r="F421" i="15"/>
  <c r="F413" i="15"/>
  <c r="F405" i="15"/>
  <c r="F365" i="15"/>
  <c r="F357" i="15"/>
  <c r="F349" i="15"/>
  <c r="F341" i="15"/>
  <c r="F333" i="15"/>
  <c r="F325" i="15"/>
  <c r="F317" i="15"/>
  <c r="F309" i="15"/>
  <c r="F301" i="15"/>
  <c r="F293" i="15"/>
  <c r="F285" i="15"/>
  <c r="F277" i="15"/>
  <c r="F269" i="15"/>
  <c r="F261" i="15"/>
  <c r="F424" i="15"/>
  <c r="F420" i="15"/>
  <c r="F416" i="15"/>
  <c r="F412" i="15"/>
  <c r="F408" i="15"/>
  <c r="F404" i="15"/>
  <c r="F400" i="15"/>
  <c r="F368" i="15"/>
  <c r="F364" i="15"/>
  <c r="F360" i="15"/>
  <c r="F356" i="15"/>
  <c r="F352" i="15"/>
  <c r="F348" i="15"/>
  <c r="F344" i="15"/>
  <c r="F340" i="15"/>
  <c r="F336" i="15"/>
  <c r="F332" i="15"/>
  <c r="F328" i="15"/>
  <c r="F324" i="15"/>
  <c r="F320" i="15"/>
  <c r="F316" i="15"/>
  <c r="F312" i="15"/>
  <c r="F308" i="15"/>
  <c r="F304" i="15"/>
  <c r="F300" i="15"/>
  <c r="F296" i="15"/>
  <c r="F292" i="15"/>
  <c r="F288" i="15"/>
  <c r="F284" i="15"/>
  <c r="F280" i="15"/>
  <c r="F276" i="15"/>
  <c r="F272" i="15"/>
  <c r="F268" i="15"/>
  <c r="F264" i="15"/>
  <c r="F260" i="15"/>
  <c r="F256" i="15"/>
  <c r="F441" i="15"/>
  <c r="F437" i="15"/>
  <c r="F442" i="15"/>
  <c r="F438" i="15"/>
  <c r="F434" i="15"/>
  <c r="E201" i="39"/>
  <c r="F312" i="14"/>
  <c r="E200" i="39"/>
  <c r="F311" i="14"/>
  <c r="F270" i="31"/>
  <c r="E144" i="40"/>
  <c r="F233" i="15"/>
  <c r="F537" i="14" l="1"/>
  <c r="J15" i="37" s="1"/>
  <c r="F212" i="15"/>
  <c r="F211" i="15"/>
  <c r="F213" i="15"/>
  <c r="E163" i="40"/>
  <c r="F252" i="15"/>
  <c r="F277" i="31"/>
  <c r="E119" i="39"/>
  <c r="F513" i="31" l="1"/>
  <c r="J8" i="37" s="1"/>
  <c r="F225" i="15"/>
  <c r="E23" i="37" s="1"/>
  <c r="E164" i="40"/>
  <c r="F253" i="15"/>
  <c r="F478" i="15" s="1"/>
  <c r="E15" i="37"/>
  <c r="D242" i="14"/>
  <c r="J23" i="37" l="1"/>
  <c r="G242" i="14"/>
  <c r="E179" i="39"/>
  <c r="G222" i="14"/>
  <c r="G221" i="14"/>
  <c r="G48" i="14"/>
  <c r="G47" i="14"/>
  <c r="G46" i="14"/>
  <c r="G243" i="14" l="1"/>
  <c r="H15" i="37" s="1"/>
  <c r="K8" i="37"/>
  <c r="G224" i="14"/>
  <c r="B15" i="37" s="1"/>
  <c r="G15" i="37" l="1"/>
  <c r="O11" i="37" l="1"/>
  <c r="A1" i="15"/>
  <c r="A1" i="31" s="1"/>
  <c r="J43" i="14" l="1"/>
  <c r="D12" i="14"/>
  <c r="D10" i="14"/>
  <c r="A25" i="14" l="1"/>
  <c r="D23" i="37" l="1"/>
  <c r="K23" i="37" s="1"/>
  <c r="D15" i="37"/>
  <c r="K15" i="37" s="1"/>
  <c r="O10" i="37" l="1"/>
  <c r="P10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<sst xmlns="http://schemas.openxmlformats.org/spreadsheetml/2006/main" count="2463" uniqueCount="697">
  <si>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</si>
  <si>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</si>
  <si>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</si>
  <si>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</si>
  <si>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</si>
  <si>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</si>
  <si>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</si>
  <si>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</si>
  <si>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</si>
  <si>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</si>
  <si>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</si>
  <si>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</si>
  <si>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</si>
  <si>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</si>
  <si>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</si>
  <si>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</si>
  <si>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</si>
  <si>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</si>
  <si>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</si>
  <si>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</si>
  <si>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</si>
  <si>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</si>
  <si>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</si>
  <si>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</si>
  <si>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</si>
  <si>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</si>
  <si>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</si>
  <si>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</si>
  <si>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</si>
  <si>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</si>
  <si>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</si>
  <si>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</si>
  <si>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</si>
  <si>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</si>
  <si>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</si>
  <si>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</si>
  <si>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</si>
  <si>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</si>
  <si>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</si>
  <si>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</si>
  <si>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</si>
  <si>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</si>
  <si>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</si>
  <si>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</si>
  <si>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</si>
  <si>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</si>
  <si>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</si>
  <si>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</si>
  <si>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</si>
  <si>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</si>
  <si>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</si>
  <si>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</si>
  <si>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</si>
  <si>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</si>
  <si>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</si>
  <si>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</si>
  <si>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</si>
  <si>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</si>
  <si>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</si>
  <si>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</si>
  <si>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</si>
  <si>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</si>
  <si>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</si>
  <si>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</si>
  <si>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</si>
  <si>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</si>
  <si>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</si>
  <si>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</si>
  <si>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</si>
  <si>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</si>
  <si>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</si>
  <si>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</si>
  <si>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</si>
  <si>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</si>
  <si>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</si>
  <si>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</si>
  <si>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</si>
  <si>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</si>
  <si>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</si>
  <si>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</si>
  <si>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</si>
  <si>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</si>
  <si>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</si>
  <si>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</si>
  <si>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</si>
  <si>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</si>
  <si>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</si>
  <si>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</si>
  <si>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</si>
  <si>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</si>
  <si>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</si>
  <si>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</si>
  <si>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</si>
  <si>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</si>
  <si>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</si>
  <si>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</si>
  <si>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</si>
  <si>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</si>
  <si>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</si>
  <si>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</si>
  <si>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</si>
  <si>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</si>
  <si>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</si>
  <si>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</si>
  <si>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</si>
  <si>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</si>
  <si>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</si>
  <si>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</si>
  <si>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</si>
  <si>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</si>
  <si>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</si>
  <si>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</si>
  <si>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</si>
  <si>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</si>
  <si>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</si>
  <si>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</si>
  <si>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</si>
  <si>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</si>
  <si>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</si>
  <si>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</si>
  <si>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</si>
  <si>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</si>
  <si>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</si>
  <si>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</si>
  <si>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</si>
  <si>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</si>
  <si>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</si>
  <si>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</si>
  <si>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</si>
  <si>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</si>
  <si>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</si>
  <si>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</si>
  <si>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</si>
  <si>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</si>
  <si>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</si>
  <si>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</si>
  <si>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</si>
  <si>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</si>
  <si>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</si>
  <si>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</si>
  <si>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</si>
  <si>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</si>
  <si>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</si>
  <si>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</si>
  <si>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</si>
  <si>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</si>
  <si>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</si>
  <si>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</si>
  <si>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</si>
  <si>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</si>
  <si>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</si>
  <si>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</si>
  <si>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</si>
  <si>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</si>
  <si>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</si>
  <si>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</si>
  <si>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</si>
  <si>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</si>
  <si>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</si>
  <si>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</si>
  <si>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</si>
  <si>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</si>
  <si>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</si>
  <si>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</si>
  <si>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</si>
  <si>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</si>
  <si>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</si>
  <si>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</si>
  <si>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</si>
  <si>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</si>
  <si>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</si>
  <si>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</si>
  <si>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</si>
  <si>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</si>
  <si>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</si>
  <si>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</si>
  <si>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</si>
  <si>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</si>
  <si>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</si>
  <si>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</si>
  <si>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</si>
  <si>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</si>
  <si>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</si>
  <si>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</si>
  <si>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</si>
  <si>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</si>
  <si>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</si>
  <si>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</si>
  <si>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</si>
  <si>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</si>
  <si>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</si>
  <si>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</si>
  <si>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</si>
  <si>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</si>
  <si>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</si>
  <si>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</si>
  <si>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</si>
  <si>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</si>
  <si>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</si>
  <si>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</si>
  <si>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</si>
  <si>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</si>
  <si>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ТКО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</si>
  <si>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</si>
  <si>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</si>
  <si>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</si>
  <si>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</si>
  <si>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</si>
  <si>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</si>
  <si>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</si>
  <si>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</si>
  <si>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</si>
  <si>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</si>
  <si>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</si>
  <si>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Проезд подростков</t>
  </si>
  <si>
    <t>Суточные подростки</t>
  </si>
  <si>
    <t>Проживание подростки</t>
  </si>
  <si>
    <t>Проживание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</si>
  <si>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</si>
  <si>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</si>
  <si>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</si>
  <si>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</si>
  <si>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</si>
  <si>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</si>
  <si>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</si>
  <si>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</si>
  <si>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Проезд детей 4</t>
  </si>
  <si>
    <t>Суточные детей 4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</si>
  <si>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</si>
  <si>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</si>
  <si>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</si>
  <si>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</si>
  <si>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</si>
  <si>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</si>
  <si>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</si>
  <si>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</si>
  <si>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</si>
  <si>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</si>
  <si>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</si>
  <si>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</si>
  <si>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</si>
  <si>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</si>
  <si>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</si>
  <si>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</si>
  <si>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</si>
  <si>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</si>
  <si>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</si>
  <si>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</si>
  <si>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</si>
  <si>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</si>
  <si>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</si>
  <si>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</si>
  <si>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</si>
  <si>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</si>
  <si>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</si>
  <si>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</si>
  <si>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ГСМ УАЗ (Масло двигатель)</t>
  </si>
  <si>
    <t>Саморезы</t>
  </si>
  <si>
    <t>Бумага А4</t>
  </si>
  <si>
    <t>ГСМ Бензин</t>
  </si>
  <si>
    <t>Наименование показателя объема : колличество мероприятий (штук)</t>
  </si>
  <si>
    <t>Планируемое число  в год:  32   мероприятий (штук) (показатель объема услуги - задание)</t>
  </si>
  <si>
    <t>Рабочих часов в год:1774,4 часа – производственный календарь на 2021 год</t>
  </si>
  <si>
    <t>(плановое задание 2021 года)</t>
  </si>
  <si>
    <t>(1774,4 часа ×</t>
  </si>
  <si>
    <t>4 = 3 × 1774,4</t>
  </si>
  <si>
    <t>1774,4 часов)</t>
  </si>
  <si>
    <t>6=5*0,262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</si>
  <si>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</si>
  <si>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</si>
  <si>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</si>
  <si>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</si>
  <si>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</si>
  <si>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</si>
  <si>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</si>
  <si>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</si>
  <si>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</si>
  <si>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Обучение электроустановки</t>
  </si>
  <si>
    <t>переподготовка</t>
  </si>
  <si>
    <t>чел</t>
  </si>
  <si>
    <t>текущий ремонт отмостки и системы отвода дождевой воды здания МБУ "МЦ "АУРУМ"</t>
  </si>
  <si>
    <t xml:space="preserve">вилка </t>
  </si>
  <si>
    <t>четверник</t>
  </si>
  <si>
    <t>пугнп</t>
  </si>
  <si>
    <t>лампа накаливания</t>
  </si>
  <si>
    <t>ключ трубный</t>
  </si>
  <si>
    <t>лента фум</t>
  </si>
  <si>
    <t>защелка замка</t>
  </si>
  <si>
    <t>стержни клеевые по керамике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</si>
  <si>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</si>
  <si>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</si>
  <si>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</si>
  <si>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Планируемое число  в год: 45 колличество мероприятий (штук)(показатель объема услуги - задание)</t>
  </si>
  <si>
    <t>Участие команды ВПО Северо-Енисейского района в краевом сборе-конкурсе курсантов военно-патриотических объединений "Слет Патриотов-2021" (Манский район)</t>
  </si>
  <si>
    <t>Проезд детей (10 детей)</t>
  </si>
  <si>
    <t>Суточные детей (10 детей)</t>
  </si>
  <si>
    <t>Поисковая экспедиция</t>
  </si>
  <si>
    <t>Наградная продукция к мероприятиям</t>
  </si>
  <si>
    <t>Георгиевская лента (бабина)</t>
  </si>
  <si>
    <t>(17740,4 часа ×</t>
  </si>
  <si>
    <t>6=5*0,369</t>
  </si>
  <si>
    <t>Поддержка проектов в рамках грантового конкурса Территория Красноярский край</t>
  </si>
  <si>
    <t>Приложение № 1</t>
  </si>
  <si>
    <t>1.     Расчеты (обоснования) выплат персоналу, непосредственно НЕ связанному с выполнением работы ( доплата до МРОТ)</t>
  </si>
  <si>
    <t>     Расчеты (обоснования) выплат персоналу, непосредственно НЕ связанному с выполнением работы ( доплата до МРОТ)</t>
  </si>
  <si>
    <t>изготовление банера</t>
  </si>
  <si>
    <t>монтаж системы видеонаблюдения</t>
  </si>
  <si>
    <t>КОНТРАКТ ООО ОПТИМА ХОЗЫ</t>
  </si>
  <si>
    <t>Кисть Акор "ЭКСПЕРТ"КФ- 25*8 натур.щетина /10/1050/</t>
  </si>
  <si>
    <t>Лак БТ-577 (Кузбасслак)   0,9л СГ /6/</t>
  </si>
  <si>
    <t>Морилка "Красное дерево" 0,50л водная  пэт</t>
  </si>
  <si>
    <t>Порожек стык 1,8 м дуб темный 60мм (6) ПС07.1800.091</t>
  </si>
  <si>
    <t>Профиль потолочный А-1 3,0м в сборе (Т) (20)</t>
  </si>
  <si>
    <t>STAYER MAXI, 105х55мм, стусло пластиковое</t>
  </si>
  <si>
    <t>Ножовка по металлу ЗУБР МХ-100, метал.рамка, пласт.ручка,натяжение 60кг, 300мм</t>
  </si>
  <si>
    <t>Ножовка ЗУБР Молния-5 по дереву, прямой крупный зуб, 500мм</t>
  </si>
  <si>
    <t>Рулетка ХК STANDART 10м*25мм, магнит, автостоп, обрезиненный корпус /12/60/</t>
  </si>
  <si>
    <t>Хомут нейлоновый 3,6х250мм 100шт белый /10/</t>
  </si>
  <si>
    <t>Хомут нейлоновый 3,6х350мм 100шт белый</t>
  </si>
  <si>
    <t>Нож ЕРМАК 18 мм, складной, двухкомпонентная рукоятка, сменное лезвие 649-015/1/</t>
  </si>
  <si>
    <t>Сверло ЗУБР "МАСТЕР" по бетону ударное, 10x300мм</t>
  </si>
  <si>
    <t>Сверло ЗУБР "СУПЕР-6" по бетону ударное, шестигранный хвостовик, 8x300мм</t>
  </si>
  <si>
    <t>ЗУБР МАСТЕР 6 х 150  мм сверло по бетону</t>
  </si>
  <si>
    <t>ЗУБР МАСТЕР 4 х 75  мм сверло по бетону</t>
  </si>
  <si>
    <t>ЗУБР МАСТЕР 5 x 85  мм сверло по бетону</t>
  </si>
  <si>
    <t>Плинтус напольный с кабель-каналом Line Plast L048 Ироко 58мм*2,5м (40) L048 Ироко</t>
  </si>
  <si>
    <t>Угол наружный Line Plast L048 Ироко 58мм</t>
  </si>
  <si>
    <t>Угол внутренний Line Plast L048 Ироко 58мм</t>
  </si>
  <si>
    <t>Соединитель Line Plast L048 Ироко 58мм (50)</t>
  </si>
  <si>
    <t>Торцевик Line Plast L048 Ироко левый 58мм (50)</t>
  </si>
  <si>
    <t>Торцевик Line Plast L048 Ироко правый 58мм (50)</t>
  </si>
  <si>
    <t>Карниз для штор гибкий ArtFlex белый 5,0м (11 хомутов, 50 крючков)</t>
  </si>
  <si>
    <t>Выключатель Lezard Mira 1СП белый 701-0202-100 /10/120/</t>
  </si>
  <si>
    <t xml:space="preserve">Клей Henkel Момент Столяр ПВА универсальный, 250гр </t>
  </si>
  <si>
    <t>Порожек стык 1,8 мербау 37мм ПС03.1800.093</t>
  </si>
  <si>
    <t>Брусок 50*50мм (3м)</t>
  </si>
  <si>
    <t>Фанера березовая 6мм 1525*1525мм ФК сорт 4/4 нш</t>
  </si>
  <si>
    <t>Фанера березовая 8мм 1525*1525мм ФК сорт 4/4 нш</t>
  </si>
  <si>
    <t>Эмаль акр.для радиаторов отопления 1кг полуглянцевая (6) OLECOLOR</t>
  </si>
  <si>
    <t>Лопата снеговая деревянная, 50*50см, с усиленной планкой, "Баба Яга"/1/</t>
  </si>
  <si>
    <t>Лопата пласт 380*380мм, с алюминевой планкой, с алюмин.черенком и Д-образной ручкой (5) ЛА-06</t>
  </si>
  <si>
    <t>Коробка распаячная КМР-030-031 с крышкой 8*80*50мм IP 54 EKF, серая /100/</t>
  </si>
  <si>
    <t>Розетка "Пралеска"   2РА16-303 брызгозащищенная з/к /30/</t>
  </si>
  <si>
    <t>Провод ВВГ 3*2,5</t>
  </si>
  <si>
    <t>Щиток защитный TUNDRA корпус пластик 4588909</t>
  </si>
  <si>
    <t>Щиток защитный СИБИН с экраном из поликарбоната</t>
  </si>
  <si>
    <t>Замок навесной  Чебоксары ВС-2 М1-02 /20/</t>
  </si>
  <si>
    <t>Фанера 10 мм (1525х1525) водостойкая , сорт 4/4 , н/ш (2,325 м2)</t>
  </si>
  <si>
    <t>Гайка шестигранная цинк DIN 934 М10 (300шт.)</t>
  </si>
  <si>
    <t>Шайба плоская узкая цинк DIN 125 М12 (500шт.)</t>
  </si>
  <si>
    <t>Шайба пружинная гроверная цинк DIN 127 М12 (500шт.)</t>
  </si>
  <si>
    <t>Дюбель усиленный 5х40 + саморез головка потай желтый цинк 3,5х45 (20шт)</t>
  </si>
  <si>
    <t>Дюбель усиленный 6х25 + саморез головка потай желтый цинк 4,0х30 (20шт)</t>
  </si>
  <si>
    <t>Дюбель усиленный 5х30 + саморез головка потай желтый цинк 3,0х35 (24шт)</t>
  </si>
  <si>
    <t>Кабель-канал ПВХ 12*12 (100) SQ0408-0501</t>
  </si>
  <si>
    <t>Кабель-канал ПВХ 20*10 (80) SQ0408-0503</t>
  </si>
  <si>
    <t>Хомут  червячный "MGF" 16-27мм /50/</t>
  </si>
  <si>
    <t>Переходник (штуцер) LEXLINE на р/шл 1/2 нар-20, латунь /10/</t>
  </si>
  <si>
    <t>Флянец хвостовика</t>
  </si>
  <si>
    <t>Датчик коленвала</t>
  </si>
  <si>
    <t>пусковые провода</t>
  </si>
  <si>
    <t>маска медицинская</t>
  </si>
  <si>
    <t>Бумага10*15 глянец 180 гр</t>
  </si>
  <si>
    <t>планшет</t>
  </si>
  <si>
    <t>Бумага А4 цвет</t>
  </si>
  <si>
    <t>Бумага 10*15 матовая</t>
  </si>
  <si>
    <t>Бумага 10*15 глянец 230 гр</t>
  </si>
  <si>
    <t>Бумага А4 глянец 230 гр</t>
  </si>
  <si>
    <t>Бумага А4 матовая 160 гр</t>
  </si>
  <si>
    <t>Бумага А4 матовая 230 гр</t>
  </si>
  <si>
    <t>Бумага А4 глянец 240 гр</t>
  </si>
  <si>
    <t>скотч 72*56</t>
  </si>
  <si>
    <t>скотч 48*100</t>
  </si>
  <si>
    <t>блок самоклей</t>
  </si>
  <si>
    <t>папка-регистратор</t>
  </si>
  <si>
    <t>картон белый</t>
  </si>
  <si>
    <t>пружина 51 мм</t>
  </si>
  <si>
    <t>скотч 15 мм</t>
  </si>
  <si>
    <t>бейдж</t>
  </si>
  <si>
    <t>шнурок для бейджа</t>
  </si>
  <si>
    <t>блокнот для флипчарта</t>
  </si>
  <si>
    <t>бумага писчая</t>
  </si>
  <si>
    <t>фоторамка дерево</t>
  </si>
  <si>
    <t>фоторамка пластик</t>
  </si>
  <si>
    <t>батарейка ААА 24 шт /уп</t>
  </si>
  <si>
    <t>батарейка ААА 12 шт /уп</t>
  </si>
  <si>
    <t>батарейка АА 24 шт /уп</t>
  </si>
  <si>
    <t>батарейка АА 18 шт /уп</t>
  </si>
  <si>
    <t>щит распределительный</t>
  </si>
  <si>
    <t>фен технический</t>
  </si>
  <si>
    <t>струбцина</t>
  </si>
  <si>
    <t>набор струбцины</t>
  </si>
  <si>
    <t>сверло по бетону</t>
  </si>
  <si>
    <t>кисть Акор работы по дереву</t>
  </si>
  <si>
    <t>эмаль аэрозоль желтая 520 мл</t>
  </si>
  <si>
    <t>эмаль аэрозоль голубая 520 мл</t>
  </si>
  <si>
    <t>набор инструментов зубр</t>
  </si>
  <si>
    <t>набор сьемников для панели</t>
  </si>
  <si>
    <t>смазка проникающая</t>
  </si>
  <si>
    <t>воронка уфа</t>
  </si>
  <si>
    <t>угол крепежный усиленный</t>
  </si>
  <si>
    <t>обои винил</t>
  </si>
  <si>
    <t>альба обои влагостойкие</t>
  </si>
  <si>
    <t>эмаль пф-266 алк. Красно-коричневая</t>
  </si>
  <si>
    <t>эмаль олеколор пф-115 алк белая</t>
  </si>
  <si>
    <t>валик Акор мастер240*8</t>
  </si>
  <si>
    <t>кисть акор столичная</t>
  </si>
  <si>
    <t>клей обойный</t>
  </si>
  <si>
    <t>удлинитель нильсон</t>
  </si>
  <si>
    <t>штора рул 180 см</t>
  </si>
  <si>
    <t>штора рул 150 см</t>
  </si>
  <si>
    <t>клей космофен</t>
  </si>
  <si>
    <t>обои ротанг</t>
  </si>
  <si>
    <t>эмаль пф-115</t>
  </si>
  <si>
    <t>обои альба</t>
  </si>
  <si>
    <t>гвозди строит</t>
  </si>
  <si>
    <t>молоток кованый</t>
  </si>
  <si>
    <t>фанера береза</t>
  </si>
  <si>
    <t>проступь черная</t>
  </si>
  <si>
    <t>коврик влаговпит</t>
  </si>
  <si>
    <t>угол крепежный</t>
  </si>
  <si>
    <t>петля накладная</t>
  </si>
  <si>
    <t>проушина</t>
  </si>
  <si>
    <t>домкрат</t>
  </si>
  <si>
    <t>скотч упаковочный</t>
  </si>
  <si>
    <t>скотч 48мм</t>
  </si>
  <si>
    <t>сердцевина цам</t>
  </si>
  <si>
    <t>прожектор светодиод</t>
  </si>
  <si>
    <t>эмаль акрил белая 0,8 кг</t>
  </si>
  <si>
    <t>универс колер 80 мл алый</t>
  </si>
  <si>
    <t>универс колер 80 мл зеленый</t>
  </si>
  <si>
    <t>кран бабочка</t>
  </si>
  <si>
    <t>вдк интерьерная</t>
  </si>
  <si>
    <t>замок навесной</t>
  </si>
  <si>
    <t>петля накладная 85 левая</t>
  </si>
  <si>
    <t>петля накладная 70 правая</t>
  </si>
  <si>
    <t>крючок ветровой</t>
  </si>
  <si>
    <t>ручка-скоба</t>
  </si>
  <si>
    <t>фанера 10 мм</t>
  </si>
  <si>
    <t>фанера 20 мм</t>
  </si>
  <si>
    <t>заглушка торцевая</t>
  </si>
  <si>
    <t>замок врезной</t>
  </si>
  <si>
    <t>диск шлифовальный</t>
  </si>
  <si>
    <t>порожек стык</t>
  </si>
  <si>
    <t>грунтовка акрил 5 кг</t>
  </si>
  <si>
    <t>скребок снеговой</t>
  </si>
  <si>
    <t>обивка для двери эконом</t>
  </si>
  <si>
    <t>клей момент-монтаж</t>
  </si>
  <si>
    <t>кисть акор 38*13</t>
  </si>
  <si>
    <t>кисть акор 25*10</t>
  </si>
  <si>
    <t>саморез с прессшайбой</t>
  </si>
  <si>
    <t>грунт алк серый 2,1</t>
  </si>
  <si>
    <t>грунт алк серый 1 кг</t>
  </si>
  <si>
    <t>кисть акор 35*10</t>
  </si>
  <si>
    <t>растворитель</t>
  </si>
  <si>
    <t>щетка чашечная 0,3*60</t>
  </si>
  <si>
    <t>щетка чашечная 0,3*75</t>
  </si>
  <si>
    <t>угол внутренний, наружный</t>
  </si>
  <si>
    <t>биты 10 шт</t>
  </si>
  <si>
    <t>болт шестигранный</t>
  </si>
  <si>
    <t>гайка шестигранная</t>
  </si>
  <si>
    <t>шайба плоская</t>
  </si>
  <si>
    <t>сверло по металлу</t>
  </si>
  <si>
    <t>винт головка полусфера 5*50</t>
  </si>
  <si>
    <t>винт головка полусфера 5*40</t>
  </si>
  <si>
    <t>сверло по металллу</t>
  </si>
  <si>
    <t>сверло по металллу 5*86</t>
  </si>
  <si>
    <t>петля накладная цинк</t>
  </si>
  <si>
    <t>гайка со стоп кольцом</t>
  </si>
  <si>
    <t>сердцевина в замок</t>
  </si>
  <si>
    <t>ограничитель напольный</t>
  </si>
  <si>
    <t>звонок беспроводной</t>
  </si>
  <si>
    <t>кисть акор 75*12</t>
  </si>
  <si>
    <t>кисть акор 50*10</t>
  </si>
  <si>
    <t>эмаль-аэрозоль</t>
  </si>
  <si>
    <t>аквалазурь</t>
  </si>
  <si>
    <t>кисть акор 50*14</t>
  </si>
  <si>
    <t>шуруп кольцо</t>
  </si>
  <si>
    <t>болт шестигранник</t>
  </si>
  <si>
    <t>клей монтажный</t>
  </si>
  <si>
    <t>лопата снеговая</t>
  </si>
  <si>
    <t>универсальный колер</t>
  </si>
  <si>
    <t>паста колеровочная</t>
  </si>
  <si>
    <t>Чернила Canon 135 мл черные</t>
  </si>
  <si>
    <t>Чернила Canon 70 мл голубые</t>
  </si>
  <si>
    <t>Чернила Canon 70 мл урпур</t>
  </si>
  <si>
    <t>Чернила Canon 70 мл желтые</t>
  </si>
  <si>
    <t>батарейка ААА</t>
  </si>
  <si>
    <t>батарейка АА</t>
  </si>
  <si>
    <t>Профиль металлический</t>
  </si>
  <si>
    <t>Цемент</t>
  </si>
  <si>
    <t>Фанера 10 мм</t>
  </si>
  <si>
    <t>Перчатки, мешки</t>
  </si>
  <si>
    <t>Краска акриловая 10 л</t>
  </si>
  <si>
    <t>Колер для акриловой краски в ассортименте</t>
  </si>
  <si>
    <t>Сверла, лезвия для лобзика</t>
  </si>
  <si>
    <t>Кабель бабина витая пара UTP, 4 пары Cat.5e outdoor (305 м)</t>
  </si>
  <si>
    <t>кабель витая пара</t>
  </si>
  <si>
    <t>Коннектор</t>
  </si>
  <si>
    <t xml:space="preserve">средства индивидуальной защиты и дезинфекционные средства </t>
  </si>
  <si>
    <t>Гамак</t>
  </si>
  <si>
    <t>Будо-Мат EVA «Ласточкин Хвост» м2, толщина 2 см</t>
  </si>
  <si>
    <t>Карабины металл</t>
  </si>
  <si>
    <t>Краска ВДК 4 л</t>
  </si>
  <si>
    <t>Коллер для краски ВДК</t>
  </si>
  <si>
    <t>на 07.12.2021 год</t>
  </si>
  <si>
    <t>Флаг (флажная сетка) 0,9*1,35</t>
  </si>
  <si>
    <t>Банер "Юнармия"</t>
  </si>
  <si>
    <t>спортивный меч</t>
  </si>
  <si>
    <t>Щит красный</t>
  </si>
  <si>
    <t>Щит синий</t>
  </si>
  <si>
    <t>Жилет защитный s красный</t>
  </si>
  <si>
    <t>Жилет защитный s синий</t>
  </si>
  <si>
    <t>Жилет защитный М красный</t>
  </si>
  <si>
    <t>Жилет защитный М синий</t>
  </si>
  <si>
    <t>Жилет защитный L красный</t>
  </si>
  <si>
    <t>Жилет защитный L синий</t>
  </si>
  <si>
    <t>Шлем с металлической маской s красный</t>
  </si>
  <si>
    <t>Шлем с металлической маскойй s синий</t>
  </si>
  <si>
    <t>Шлем с металлической маской L красный</t>
  </si>
  <si>
    <t>Шлем с металлической маской L синий</t>
  </si>
  <si>
    <t>Щитки на предплечье М красный</t>
  </si>
  <si>
    <t>Щитки на предплечье М синий</t>
  </si>
  <si>
    <t>Щитки на предплечье L красный</t>
  </si>
  <si>
    <t>Щитки на предплечье L синий</t>
  </si>
  <si>
    <t>Наколенники М красный</t>
  </si>
  <si>
    <t>Наколенники М синий</t>
  </si>
  <si>
    <t>Наколенники L красный</t>
  </si>
  <si>
    <t>Наколенники L синий</t>
  </si>
  <si>
    <t>Защита шеи s красный</t>
  </si>
  <si>
    <t>Защита шеи s синий</t>
  </si>
  <si>
    <t>Защита шеи М красный</t>
  </si>
  <si>
    <t>Защита шеи М синий</t>
  </si>
  <si>
    <t>Защита шеи L красный</t>
  </si>
  <si>
    <t>Защита шеи L синий</t>
  </si>
  <si>
    <t>Фотобумага 150 гр</t>
  </si>
  <si>
    <t>Фотобумага 230 гр</t>
  </si>
  <si>
    <t>Фотобумага 180 гр</t>
  </si>
  <si>
    <t>Фотобумага 190 гр</t>
  </si>
  <si>
    <t>перчатки белые для юнармейцев</t>
  </si>
  <si>
    <t xml:space="preserve">Брюки ВКБО </t>
  </si>
  <si>
    <t>Китель ВКБО</t>
  </si>
  <si>
    <t>Шеврон вышитый Юнармия</t>
  </si>
  <si>
    <t>Шарф красный Бнармия флис</t>
  </si>
  <si>
    <t>Омон ботинки с высокими берцами</t>
  </si>
  <si>
    <t>Бейсболка Юнармия</t>
  </si>
  <si>
    <t>Флаг Юнармия 40*60</t>
  </si>
  <si>
    <t>Флаг Юнармия 90*135</t>
  </si>
  <si>
    <t>Жакет Юнармия</t>
  </si>
  <si>
    <t>Полусапоги Армия с высокими берцами</t>
  </si>
  <si>
    <t>Толстовка Юнармия</t>
  </si>
  <si>
    <t>Брюки Юнармия плащевка</t>
  </si>
  <si>
    <t>Куртка юнармия плащевка</t>
  </si>
  <si>
    <t>фоторамка А4 пластик</t>
  </si>
  <si>
    <t>Проект "Флорбол" защитная майка вратаря</t>
  </si>
  <si>
    <t>Проект "Флорбол" шлем вратаря</t>
  </si>
  <si>
    <t>двп двухстор</t>
  </si>
  <si>
    <t>фанера 1525*1525</t>
  </si>
  <si>
    <t>брусок 50*50</t>
  </si>
  <si>
    <t>паяльник</t>
  </si>
  <si>
    <t>припой</t>
  </si>
  <si>
    <t>профиль потолочный</t>
  </si>
  <si>
    <t>ролик выкатной</t>
  </si>
  <si>
    <t>ковролиновая дорожка</t>
  </si>
  <si>
    <t>эмаль аэрозоль красная</t>
  </si>
  <si>
    <t>эмаль аэрозоль зеленая</t>
  </si>
  <si>
    <t>клей момент монтаж</t>
  </si>
  <si>
    <t>кисть акор лаки</t>
  </si>
  <si>
    <t>набор посуды для пикника (солд каша)</t>
  </si>
  <si>
    <t>Портативная газ плита (солд каша)</t>
  </si>
  <si>
    <t>подсумок для мультититула</t>
  </si>
  <si>
    <t>подсумок под радиостанцию</t>
  </si>
  <si>
    <t>Учебный патрон 5,45*39</t>
  </si>
  <si>
    <t>Учебный патрон 7,62*39</t>
  </si>
  <si>
    <t>кофр для штык ножа</t>
  </si>
  <si>
    <t>Баннер 2*3 День победы</t>
  </si>
  <si>
    <t>вкладыш в лампаду</t>
  </si>
  <si>
    <t>Лампада заливная неугасимая</t>
  </si>
  <si>
    <t xml:space="preserve">Доска обрезная </t>
  </si>
  <si>
    <t>Свеча мерцающая восковая</t>
  </si>
  <si>
    <t>Приложение №1 к приложению 1  к Приказу отдела физической культуры, спорта и молодежной политики Северо-Енисейского района от  07.12.2021 № 80-ОС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</si>
  <si>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Пои контактные</t>
  </si>
  <si>
    <t>Расходные материалы к мероприятиям:</t>
  </si>
  <si>
    <t>Бумага цветная А4 500л. IQ COLOR голубой MB30</t>
  </si>
  <si>
    <t>Бумага цветная А4 500л. IQ COLOR желтый YE23</t>
  </si>
  <si>
    <t>Бумага цветная А4 500л. IQ COLOR зеленый MG28</t>
  </si>
  <si>
    <t>Бумага цветная А4 500л. IQ COLOR Интенсив светло-синий AB48</t>
  </si>
  <si>
    <t>Бумага цветная А4 500л. IQ COLOR кораллово-красный CO44</t>
  </si>
  <si>
    <t>Бумага цветная А4 500л. IQ COLOR неон зеленый NEOGN</t>
  </si>
  <si>
    <t>Фоамиран цветной А3 deVENTE 5л. 5цв., голограф</t>
  </si>
  <si>
    <t>Фетр цветной А4 BRAUBERG 5л., 5цв., 2 мм, оттенки красного</t>
  </si>
  <si>
    <t>Фетр 50*70см deVENTE "Коричневый" 1мм в рулоне</t>
  </si>
  <si>
    <t>Фетр 50*70см deVENTE "Красный" 1мм, в рулоне</t>
  </si>
  <si>
    <t>Фетр 50*70см deVENTE "Оранжевый" 1мм, в рулоне</t>
  </si>
  <si>
    <t>Фетр 50*70см deVENTE "Салатовый" 1мм, в рулоне</t>
  </si>
  <si>
    <t>Фетр 50*70см deVENTE "Светло-розовый" 1мм, в рулоне</t>
  </si>
  <si>
    <t>Фетр 50*70см deVENTE "Серый" 1мм, в рулоне</t>
  </si>
  <si>
    <t>Фетр 50*70см deVENTE "Синий" 1мм, в рулоне</t>
  </si>
  <si>
    <t>Фетр 50*70см deVENTE "Сиреневый" 1мм, в рулоне</t>
  </si>
  <si>
    <t>Цветная бумага крепированная, 110г/м, 50*250см., голубая</t>
  </si>
  <si>
    <t>Цветная бумага крепированная, 110г/м, 50*250см., желтая</t>
  </si>
  <si>
    <t>Цветная бумага крепированная, 110г/м, 50*250см., зеленая</t>
  </si>
  <si>
    <t>Цветная бумага крепированная, 110г/м, 50*250см., красная</t>
  </si>
  <si>
    <t>Цветная бумага крепированная, 110г/м, 50*250см., оранжевая</t>
  </si>
  <si>
    <t>Цветная бумага крепированная, 110г/м, 50*250см., розовая</t>
  </si>
  <si>
    <t>Цветная бумага крепированная, 110г/м, 50*250см., синяя</t>
  </si>
  <si>
    <t>Картон гофрированный для квиллинга Апплика 10 цв, 60 полос, 10мм</t>
  </si>
  <si>
    <t>Цветная пористая резина (пенка EVA) Мульти-Пульти, самоклеящаяся, А4, 5л., 5цв., 2мм</t>
  </si>
  <si>
    <t>картон грунтованный 50*80</t>
  </si>
  <si>
    <t>картон грунтованный 35*50</t>
  </si>
  <si>
    <t>картон грунтованный 20*30</t>
  </si>
  <si>
    <t>картон грунтованный15*20</t>
  </si>
  <si>
    <t>разбавитель для красок</t>
  </si>
  <si>
    <t>лак акриловый матовый</t>
  </si>
  <si>
    <t>замедлитель высыхания красок</t>
  </si>
  <si>
    <t>гуашь 100 мл желтая</t>
  </si>
  <si>
    <t>гуашь 100 мл кармин</t>
  </si>
  <si>
    <t>гуашь 100 мл охра</t>
  </si>
  <si>
    <t>гуашь 100 мл оранжевая</t>
  </si>
  <si>
    <t>гуашь 100 мл умбра жженая</t>
  </si>
  <si>
    <t>гуашь 100 мл умбра натуральная</t>
  </si>
  <si>
    <t>гуашь 100 мл фиолетовая</t>
  </si>
  <si>
    <t>гуашь 100 мл фиолетовая темная</t>
  </si>
  <si>
    <t>гуашь 100 мл зеленая</t>
  </si>
  <si>
    <t>гуашь 500 мл черная</t>
  </si>
  <si>
    <t>гуашь Гамма "Классическая" алая</t>
  </si>
  <si>
    <t>гуашь Гамма "Классическая" темно желтая</t>
  </si>
  <si>
    <t>гуашь Гамма "Классическая" зеленая</t>
  </si>
  <si>
    <t>гуашь Гамма "Классическая" изумруд</t>
  </si>
  <si>
    <t>гуашь Гамма "Классическая" рубин</t>
  </si>
  <si>
    <t>гуашь Гамма "Классическая" ультрамарин</t>
  </si>
  <si>
    <t>стенд РДШ</t>
  </si>
  <si>
    <t>лента для бейджа с креплением</t>
  </si>
  <si>
    <t>баннер РДШ 3*4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</si>
  <si>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76-летию победы в Великой Отечественной войне</t>
  </si>
  <si>
    <t>снежколеп</t>
  </si>
  <si>
    <t>Проект "Флорбол"</t>
  </si>
  <si>
    <t>клюшка для флорбола</t>
  </si>
  <si>
    <t>Проект "Молодежная френдзона"</t>
  </si>
  <si>
    <t>Фестивальная краска «Холли» (набор из 7 шт)</t>
  </si>
  <si>
    <t>Аквагрим театральный, 240 мл, набор 12 цветов</t>
  </si>
  <si>
    <t>Кисть для нанесения аквагрима</t>
  </si>
  <si>
    <t>Проект "Мобильный танкодром"</t>
  </si>
  <si>
    <t>ДВП Двухсторонее, 122х217х5</t>
  </si>
  <si>
    <t>Фанера 152х152х6</t>
  </si>
  <si>
    <t>Фанера 152х152х10</t>
  </si>
  <si>
    <t>Брусок 50х50х3000</t>
  </si>
  <si>
    <t>Ковролиновая дорожка Antwerpen 6059 (зеленый)</t>
  </si>
  <si>
    <t>Банер "Прорыв" 2*3м</t>
  </si>
  <si>
    <t xml:space="preserve">Футболка с лого </t>
  </si>
  <si>
    <t>Проект "Дворовой спорт"</t>
  </si>
  <si>
    <t>Мяч футбольный</t>
  </si>
  <si>
    <t>Мяч для доджбола</t>
  </si>
  <si>
    <t>Свисток</t>
  </si>
  <si>
    <t>Секундомер</t>
  </si>
  <si>
    <t>Манишка с номером</t>
  </si>
  <si>
    <t>Мяч полиуретан</t>
  </si>
  <si>
    <t>Флаг с надписью юкигассен</t>
  </si>
  <si>
    <t>Сетка футбольная</t>
  </si>
  <si>
    <t>Каска с экраном</t>
  </si>
  <si>
    <t>Проект "Вечная память героям"</t>
  </si>
  <si>
    <t>Памятная плитка для обелиска (композит, гравировка 0,2х0,3 м)</t>
  </si>
  <si>
    <t>Краска по металлу (черная)</t>
  </si>
  <si>
    <t>Шпатлевка по металлу для наружных работ</t>
  </si>
  <si>
    <t>Набор малярный (валик поролон 180мм, сменный валик, ванночка</t>
  </si>
  <si>
    <t>Мусорные мешки ПВХ (180 л, в упаковке 10 шт)</t>
  </si>
  <si>
    <t>Перчатки рабочие</t>
  </si>
  <si>
    <t>Цемент быстротвердеющий мешок 25 кг</t>
  </si>
  <si>
    <t>Наждачная бумага Р100 230х280</t>
  </si>
  <si>
    <t>Проект "Территория творческих талантов"</t>
  </si>
  <si>
    <t>набор тарелок для барабанной установки</t>
  </si>
  <si>
    <t>комплект стоек для барабанов</t>
  </si>
  <si>
    <t>фонарь налобный</t>
  </si>
  <si>
    <t>Настольная игра Колонизаторы</t>
  </si>
  <si>
    <t>Настольная игра Энергосеть</t>
  </si>
  <si>
    <t>Настольная игра Диксит</t>
  </si>
  <si>
    <t>Настольная игра Билет на поезд</t>
  </si>
  <si>
    <t>Настольная игра Агрикола</t>
  </si>
  <si>
    <t>Настольная игра Каркассон</t>
  </si>
  <si>
    <t>Настольная игра Маленький мир</t>
  </si>
  <si>
    <t>Настольная игра Подземелья и драконы</t>
  </si>
  <si>
    <t>Настольная игра Дарджилинг</t>
  </si>
  <si>
    <t>Настольная игра Финка</t>
  </si>
  <si>
    <t>Настольная игра Имаджинариум</t>
  </si>
  <si>
    <t>Настольная игра Скраббл</t>
  </si>
  <si>
    <t>Баннер 2*3 "25 летие"</t>
  </si>
  <si>
    <t>Ролап "Ресурсный центр добровольчества"</t>
  </si>
  <si>
    <t>Табл. Фасад "Ресурсный центр добровольчества"</t>
  </si>
  <si>
    <t>Баннер Флэтбол уличный 1*1м</t>
  </si>
  <si>
    <t>Баннер "Флэтбол" 6*1м</t>
  </si>
  <si>
    <t>Футболка "Команда добра"</t>
  </si>
  <si>
    <t>Толстовка "Команда добра"</t>
  </si>
  <si>
    <t>Плащ-дождевик "Волонтер"</t>
  </si>
  <si>
    <t>Накидка "Волонтер"</t>
  </si>
  <si>
    <t xml:space="preserve">подарочные сертификаты Ип коева на мероприятия: Хоккей на валенках; Югикассен; Турнир по мини-футболу; Флэтбол; </t>
  </si>
  <si>
    <t>сертификат</t>
  </si>
  <si>
    <t>Приложение №1 к Приказу отдела физической культуры, спорта и молодежной политики Северо-Енисейского района от  07.12.2021 № 80-ОС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</si>
</sst>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71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0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4" fontId="41" fillId="3" borderId="14" xfId="0" applyNumberFormat="1" applyFont="1" applyFill="1" applyBorder="1" applyAlignment="1">
      <alignment horizontal="center" vertical="center" wrapText="1"/>
    </xf>
    <xf numFmtId="4" fontId="42" fillId="3" borderId="7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0" applyFont="1" applyFill="1" applyBorder="1" applyAlignment="1">
      <alignment vertical="top" wrapText="1"/>
    </xf>
    <xf numFmtId="4" fontId="43" fillId="4" borderId="7" xfId="0" applyNumberFormat="1" applyFont="1" applyFill="1" applyBorder="1"/>
    <xf numFmtId="4" fontId="44" fillId="4" borderId="7" xfId="0" applyNumberFormat="1" applyFont="1" applyFill="1" applyBorder="1"/>
    <xf numFmtId="164" fontId="45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5" fillId="4" borderId="7" xfId="0" applyNumberFormat="1" applyFont="1" applyFill="1" applyBorder="1" applyAlignment="1">
      <alignment vertical="top" wrapText="1"/>
    </xf>
    <xf numFmtId="4" fontId="42" fillId="4" borderId="7" xfId="0" applyNumberFormat="1" applyFont="1" applyFill="1" applyBorder="1" applyAlignment="1">
      <alignment horizontal="center" vertical="top" wrapText="1" readingOrder="1"/>
    </xf>
    <xf numFmtId="4" fontId="43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2" fillId="3" borderId="14" xfId="0" applyNumberFormat="1" applyFont="1" applyFill="1" applyBorder="1" applyAlignment="1">
      <alignment horizontal="center" vertical="center" wrapText="1" readingOrder="1"/>
    </xf>
    <xf numFmtId="4" fontId="42" fillId="4" borderId="7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6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4" fontId="43" fillId="3" borderId="9" xfId="0" applyNumberFormat="1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3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vertical="top" wrapText="1"/>
    </xf>
    <xf numFmtId="0" fontId="10" fillId="4" borderId="7" xfId="0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7" fillId="4" borderId="0" xfId="0" applyFont="1" applyFill="1"/>
    <xf numFmtId="4" fontId="20" fillId="4" borderId="7" xfId="0" applyNumberFormat="1" applyFont="1" applyFill="1" applyBorder="1"/>
    <xf numFmtId="0" fontId="18" fillId="4" borderId="26" xfId="0" applyFont="1" applyFill="1" applyBorder="1" applyAlignment="1">
      <alignment horizontal="center" vertical="top"/>
    </xf>
    <xf numFmtId="0" fontId="18" fillId="4" borderId="27" xfId="0" applyFont="1" applyFill="1" applyBorder="1" applyAlignment="1">
      <alignment horizontal="center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6" xfId="0" applyNumberFormat="1" applyFont="1" applyFill="1" applyBorder="1" applyAlignment="1">
      <alignment horizontal="center" vertical="top"/>
    </xf>
    <xf numFmtId="4" fontId="18" fillId="4" borderId="27" xfId="0" applyNumberFormat="1" applyFont="1" applyFill="1" applyBorder="1" applyAlignment="1">
      <alignment horizontal="center" vertical="top"/>
    </xf>
    <xf numFmtId="0" fontId="5" fillId="4" borderId="28" xfId="0" applyFont="1" applyFill="1" applyBorder="1" applyAlignment="1">
      <alignment horizontal="left" vertical="center" wrapText="1"/>
    </xf>
    <xf numFmtId="0" fontId="5" fillId="4" borderId="29" xfId="0" applyFont="1" applyFill="1" applyBorder="1" applyAlignment="1">
      <alignment horizontal="left" vertical="center" wrapText="1"/>
    </xf>
    <xf numFmtId="0" fontId="5" fillId="4" borderId="30" xfId="0" applyFont="1" applyFill="1" applyBorder="1" applyAlignment="1">
      <alignment horizontal="left" vertical="center" wrapText="1"/>
    </xf>
    <xf numFmtId="4" fontId="18" fillId="4" borderId="27" xfId="1" applyNumberFormat="1" applyFont="1" applyFill="1" applyBorder="1" applyAlignment="1">
      <alignment horizontal="center" vertical="top"/>
    </xf>
    <xf numFmtId="0" fontId="4" fillId="4" borderId="8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 readingOrder="1"/>
    </xf>
    <xf numFmtId="0" fontId="10" fillId="4" borderId="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4" fillId="3" borderId="29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4" fontId="5" fillId="4" borderId="32" xfId="0" applyNumberFormat="1" applyFont="1" applyFill="1" applyBorder="1" applyAlignment="1">
      <alignment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4" fontId="5" fillId="9" borderId="7" xfId="0" applyNumberFormat="1" applyFont="1" applyFill="1" applyBorder="1" applyAlignment="1">
      <alignment horizontal="center" vertical="center" wrapText="1" readingOrder="1"/>
    </xf>
    <xf numFmtId="0" fontId="5" fillId="9" borderId="7" xfId="0" applyFont="1" applyFill="1" applyBorder="1" applyAlignment="1">
      <alignment horizontal="center" vertical="center" wrapText="1" readingOrder="1"/>
    </xf>
    <xf numFmtId="4" fontId="7" fillId="9" borderId="7" xfId="0" applyNumberFormat="1" applyFont="1" applyFill="1" applyBorder="1" applyAlignment="1">
      <alignment horizontal="center" vertical="center" wrapText="1" readingOrder="1"/>
    </xf>
    <xf numFmtId="0" fontId="7" fillId="9" borderId="8" xfId="0" applyFont="1" applyFill="1" applyBorder="1" applyAlignment="1">
      <alignment horizontal="center" vertical="center" wrapText="1" readingOrder="1"/>
    </xf>
    <xf numFmtId="0" fontId="50" fillId="0" borderId="7" xfId="0" applyFont="1" applyBorder="1" applyAlignment="1">
      <alignment horizontal="left" vertical="center" wrapText="1"/>
    </xf>
    <xf numFmtId="0" fontId="10" fillId="10" borderId="7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51" fillId="0" borderId="7" xfId="0" applyFont="1" applyBorder="1" applyAlignment="1">
      <alignment vertical="center" wrapText="1"/>
    </xf>
    <xf numFmtId="0" fontId="10" fillId="3" borderId="9" xfId="0" applyFont="1" applyFill="1" applyBorder="1" applyAlignment="1">
      <alignment horizontal="left" vertical="top" wrapText="1"/>
    </xf>
    <xf numFmtId="0" fontId="50" fillId="0" borderId="7" xfId="0" applyFont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top" wrapText="1"/>
    </xf>
    <xf numFmtId="0" fontId="10" fillId="11" borderId="7" xfId="0" applyFont="1" applyFill="1" applyBorder="1" applyAlignment="1">
      <alignment horizontal="center" vertical="top" wrapText="1"/>
    </xf>
    <xf numFmtId="0" fontId="10" fillId="4" borderId="8" xfId="0" applyFont="1" applyFill="1" applyBorder="1" applyAlignment="1">
      <alignment horizontal="center" vertical="top" wrapText="1"/>
    </xf>
    <xf numFmtId="0" fontId="39" fillId="0" borderId="7" xfId="0" applyFont="1" applyBorder="1" applyAlignment="1">
      <alignment horizontal="center" vertical="center" wrapText="1"/>
    </xf>
    <xf numFmtId="4" fontId="10" fillId="4" borderId="9" xfId="0" applyNumberFormat="1" applyFont="1" applyFill="1" applyBorder="1" applyAlignment="1">
      <alignment vertical="top" wrapText="1"/>
    </xf>
    <xf numFmtId="4" fontId="10" fillId="11" borderId="7" xfId="0" applyNumberFormat="1" applyFont="1" applyFill="1" applyBorder="1" applyAlignment="1">
      <alignment vertical="top" wrapText="1"/>
    </xf>
    <xf numFmtId="4" fontId="10" fillId="4" borderId="8" xfId="0" applyNumberFormat="1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0" fontId="10" fillId="12" borderId="7" xfId="0" applyFont="1" applyFill="1" applyBorder="1" applyAlignment="1">
      <alignment horizontal="left" vertical="top" wrapText="1"/>
    </xf>
    <xf numFmtId="0" fontId="10" fillId="9" borderId="7" xfId="0" applyFont="1" applyFill="1" applyBorder="1" applyAlignment="1">
      <alignment horizontal="center" vertical="top" wrapText="1"/>
    </xf>
    <xf numFmtId="4" fontId="10" fillId="9" borderId="7" xfId="0" applyNumberFormat="1" applyFont="1" applyFill="1" applyBorder="1" applyAlignment="1">
      <alignment vertical="top" wrapText="1"/>
    </xf>
    <xf numFmtId="4" fontId="38" fillId="9" borderId="15" xfId="0" applyNumberFormat="1" applyFont="1" applyFill="1" applyBorder="1" applyAlignment="1">
      <alignment vertical="top" wrapText="1"/>
    </xf>
    <xf numFmtId="0" fontId="0" fillId="9" borderId="0" xfId="0" applyFill="1"/>
    <xf numFmtId="4" fontId="7" fillId="13" borderId="1" xfId="0" applyNumberFormat="1" applyFont="1" applyFill="1" applyBorder="1" applyAlignment="1">
      <alignment horizontal="center" vertical="center" wrapText="1" readingOrder="1"/>
    </xf>
    <xf numFmtId="4" fontId="7" fillId="13" borderId="3" xfId="0" applyNumberFormat="1" applyFont="1" applyFill="1" applyBorder="1" applyAlignment="1">
      <alignment horizontal="center" vertical="center" wrapText="1" readingOrder="1"/>
    </xf>
    <xf numFmtId="4" fontId="7" fillId="13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7" fillId="4" borderId="13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vertical="center" wrapText="1"/>
    </xf>
    <xf numFmtId="4" fontId="18" fillId="4" borderId="9" xfId="0" applyNumberFormat="1" applyFont="1" applyFill="1" applyBorder="1" applyAlignment="1">
      <alignment horizontal="left" vertical="top"/>
    </xf>
    <xf numFmtId="0" fontId="5" fillId="4" borderId="8" xfId="0" applyFont="1" applyFill="1" applyBorder="1" applyAlignment="1">
      <alignment vertical="top" wrapText="1"/>
    </xf>
    <xf numFmtId="0" fontId="18" fillId="4" borderId="8" xfId="0" applyFont="1" applyFill="1" applyBorder="1" applyAlignment="1">
      <alignment horizontal="center" vertical="top"/>
    </xf>
    <xf numFmtId="4" fontId="18" fillId="4" borderId="8" xfId="0" applyNumberFormat="1" applyFont="1" applyFill="1" applyBorder="1" applyAlignment="1">
      <alignment horizontal="center" vertical="top"/>
    </xf>
    <xf numFmtId="0" fontId="52" fillId="0" borderId="7" xfId="0" applyFont="1" applyBorder="1" applyAlignment="1">
      <alignment horizontal="center" vertical="center" wrapText="1"/>
    </xf>
    <xf numFmtId="4" fontId="10" fillId="4" borderId="8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7" xfId="3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Border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3" fillId="4" borderId="0" xfId="0" applyFont="1" applyFill="1" applyBorder="1" applyAlignment="1">
      <alignment horizontal="left" vertical="top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0" fontId="5" fillId="4" borderId="18" xfId="0" applyFont="1" applyFill="1" applyBorder="1" applyAlignment="1">
      <alignment horizontal="center" vertical="center" wrapText="1" readingOrder="1"/>
    </xf>
    <xf numFmtId="0" fontId="4" fillId="3" borderId="29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4" fillId="4" borderId="7" xfId="3" applyFont="1" applyFill="1" applyBorder="1" applyAlignment="1">
      <alignment horizontal="left" vertical="center" wrapText="1"/>
    </xf>
    <xf numFmtId="0" fontId="5" fillId="4" borderId="22" xfId="0" applyFont="1" applyFill="1" applyBorder="1" applyAlignment="1">
      <alignment vertical="center" wrapText="1" readingOrder="1"/>
    </xf>
    <xf numFmtId="0" fontId="5" fillId="4" borderId="17" xfId="0" applyFont="1" applyFill="1" applyBorder="1" applyAlignment="1">
      <alignment vertical="center" wrapText="1" readingOrder="1"/>
    </xf>
    <xf numFmtId="0" fontId="4" fillId="4" borderId="22" xfId="0" applyFont="1" applyFill="1" applyBorder="1" applyAlignment="1">
      <alignment vertical="center" wrapText="1"/>
    </xf>
    <xf numFmtId="0" fontId="4" fillId="3" borderId="22" xfId="0" applyFont="1" applyFill="1" applyBorder="1" applyAlignment="1">
      <alignment vertical="center" wrapText="1"/>
    </xf>
    <xf numFmtId="0" fontId="51" fillId="0" borderId="15" xfId="0" applyFont="1" applyBorder="1" applyAlignment="1">
      <alignment vertical="center" wrapText="1"/>
    </xf>
    <xf numFmtId="0" fontId="51" fillId="0" borderId="22" xfId="0" applyFont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 applyAlignment="1">
      <alignment horizontal="center" vertical="center" wrapText="1" readingOrder="1"/>
    </xf>
    <xf numFmtId="0" fontId="7" fillId="4" borderId="18" xfId="0" applyFont="1" applyFill="1" applyBorder="1" applyAlignment="1">
      <alignment horizontal="center" vertical="center" wrapText="1" readingOrder="1"/>
    </xf>
    <xf numFmtId="0" fontId="4" fillId="4" borderId="33" xfId="0" applyFont="1" applyFill="1" applyBorder="1" applyAlignment="1">
      <alignment vertical="top" wrapText="1"/>
    </xf>
    <xf numFmtId="0" fontId="4" fillId="4" borderId="34" xfId="3" applyFont="1" applyFill="1" applyBorder="1" applyAlignment="1">
      <alignment horizontal="left" vertical="center"/>
    </xf>
    <xf numFmtId="0" fontId="4" fillId="4" borderId="8" xfId="3" applyFont="1" applyFill="1" applyBorder="1" applyAlignment="1">
      <alignment horizontal="left" vertical="center" wrapText="1"/>
    </xf>
    <xf numFmtId="0" fontId="27" fillId="4" borderId="7" xfId="3" applyFont="1" applyFill="1" applyBorder="1" applyAlignment="1">
      <alignment horizontal="left" vertical="center" wrapText="1"/>
    </xf>
    <xf numFmtId="0" fontId="51" fillId="4" borderId="7" xfId="0" applyFont="1" applyFill="1" applyBorder="1" applyAlignment="1">
      <alignment vertical="center" wrapText="1"/>
    </xf>
    <xf numFmtId="0" fontId="51" fillId="4" borderId="9" xfId="0" applyFont="1" applyFill="1" applyBorder="1" applyAlignment="1">
      <alignment vertical="center" wrapText="1"/>
    </xf>
    <xf numFmtId="0" fontId="27" fillId="4" borderId="9" xfId="3" applyFont="1" applyFill="1" applyBorder="1" applyAlignment="1">
      <alignment horizontal="left" vertical="center" wrapText="1"/>
    </xf>
    <xf numFmtId="0" fontId="27" fillId="4" borderId="12" xfId="3" applyFont="1" applyFill="1" applyBorder="1" applyAlignment="1">
      <alignment horizontal="left" vertical="center" wrapText="1"/>
    </xf>
    <xf numFmtId="0" fontId="53" fillId="4" borderId="7" xfId="0" applyFont="1" applyFill="1" applyBorder="1" applyAlignment="1">
      <alignment vertical="center" wrapText="1"/>
    </xf>
    <xf numFmtId="0" fontId="27" fillId="4" borderId="7" xfId="0" applyFont="1" applyFill="1" applyBorder="1" applyAlignment="1">
      <alignment horizontal="center" vertical="center" wrapText="1"/>
    </xf>
    <xf numFmtId="0" fontId="27" fillId="4" borderId="9" xfId="0" applyFont="1" applyFill="1" applyBorder="1" applyAlignment="1">
      <alignment horizontal="center" vertical="center" wrapText="1"/>
    </xf>
    <xf numFmtId="0" fontId="47" fillId="4" borderId="7" xfId="0" applyFont="1" applyFill="1" applyBorder="1"/>
    <xf numFmtId="0" fontId="51" fillId="4" borderId="7" xfId="0" applyFont="1" applyFill="1" applyBorder="1" applyAlignment="1">
      <alignment horizontal="center" vertical="center" wrapText="1"/>
    </xf>
    <xf numFmtId="0" fontId="51" fillId="4" borderId="9" xfId="0" applyFont="1" applyFill="1" applyBorder="1" applyAlignment="1">
      <alignment horizontal="center" vertical="center" wrapText="1"/>
    </xf>
    <xf numFmtId="0" fontId="47" fillId="4" borderId="7" xfId="0" applyFont="1" applyFill="1" applyBorder="1" applyAlignment="1">
      <alignment horizontal="center"/>
    </xf>
    <xf numFmtId="4" fontId="27" fillId="4" borderId="7" xfId="0" applyNumberFormat="1" applyFont="1" applyFill="1" applyBorder="1" applyAlignment="1">
      <alignment horizontal="center" vertical="center" wrapText="1"/>
    </xf>
    <xf numFmtId="0" fontId="39" fillId="4" borderId="7" xfId="0" applyFont="1" applyFill="1" applyBorder="1" applyAlignment="1">
      <alignment horizontal="center" vertical="center" wrapText="1"/>
    </xf>
    <xf numFmtId="0" fontId="39" fillId="4" borderId="9" xfId="0" applyFont="1" applyFill="1" applyBorder="1" applyAlignment="1">
      <alignment horizontal="center" vertical="center" wrapText="1"/>
    </xf>
    <xf numFmtId="4" fontId="27" fillId="4" borderId="9" xfId="0" applyNumberFormat="1" applyFont="1" applyFill="1" applyBorder="1" applyAlignment="1">
      <alignment horizontal="center" vertical="center" wrapText="1"/>
    </xf>
    <xf numFmtId="16" fontId="31" fillId="0" borderId="7" xfId="0" applyNumberFormat="1" applyFont="1" applyBorder="1" applyAlignment="1">
      <alignment horizontal="left" wrapText="1"/>
    </xf>
    <xf numFmtId="0" fontId="28" fillId="0" borderId="7" xfId="0" applyFont="1" applyBorder="1" applyAlignment="1">
      <alignment horizontal="left"/>
    </xf>
    <xf numFmtId="1" fontId="31" fillId="0" borderId="7" xfId="0" applyNumberFormat="1" applyFont="1" applyBorder="1" applyAlignment="1">
      <alignment horizontal="left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17" t="s">
        <v>302</v>
      </c>
      <c r="J1" s="517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18" t="s">
        <v>696</v>
      </c>
      <c r="J2" s="518"/>
      <c r="K2" s="518"/>
      <c r="L2" s="170"/>
      <c r="M2" s="170"/>
    </row>
    <row r="3" spans="1:16" ht="30" x14ac:dyDescent="0.25">
      <c r="A3" s="193" t="s">
        <v>206</v>
      </c>
      <c r="B3" s="519" t="str">
        <f>'инновации+добровольчество0,369'!B3:H3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19"/>
      <c r="D3" s="519"/>
      <c r="E3" s="519"/>
      <c r="F3" s="519"/>
      <c r="G3" s="519"/>
      <c r="H3" s="519"/>
      <c r="I3" s="519"/>
      <c r="J3" s="519"/>
      <c r="K3" s="519"/>
    </row>
    <row r="4" spans="1:16" x14ac:dyDescent="0.25">
      <c r="A4" s="45"/>
      <c r="B4" s="520"/>
      <c r="C4" s="520"/>
      <c r="D4" s="520"/>
      <c r="E4" s="520"/>
      <c r="F4" s="520"/>
      <c r="G4" s="520"/>
      <c r="H4" s="520"/>
      <c r="I4" s="520"/>
      <c r="J4" s="520"/>
      <c r="K4" s="520"/>
    </row>
    <row r="5" spans="1:16" ht="15" customHeight="1" x14ac:dyDescent="0.25">
      <c r="A5" s="521" t="s">
        <v>83</v>
      </c>
      <c r="B5" s="522"/>
      <c r="C5" s="522"/>
      <c r="D5" s="521" t="s">
        <v>32</v>
      </c>
      <c r="E5" s="513"/>
      <c r="F5" s="513"/>
      <c r="G5" s="513"/>
      <c r="H5" s="513"/>
      <c r="I5" s="513"/>
      <c r="J5" s="514"/>
      <c r="K5" s="515" t="s">
        <v>33</v>
      </c>
    </row>
    <row r="6" spans="1:16" ht="120" customHeight="1" x14ac:dyDescent="0.25">
      <c r="A6" s="194" t="s">
        <v>92</v>
      </c>
      <c r="B6" s="195" t="s">
        <v>93</v>
      </c>
      <c r="C6" s="195" t="s">
        <v>94</v>
      </c>
      <c r="D6" s="196" t="s">
        <v>95</v>
      </c>
      <c r="E6" s="197" t="s">
        <v>96</v>
      </c>
      <c r="F6" s="198" t="s">
        <v>101</v>
      </c>
      <c r="G6" s="199" t="s">
        <v>97</v>
      </c>
      <c r="H6" s="199" t="s">
        <v>100</v>
      </c>
      <c r="I6" s="199" t="s">
        <v>98</v>
      </c>
      <c r="J6" s="199" t="s">
        <v>99</v>
      </c>
      <c r="K6" s="516"/>
    </row>
    <row r="7" spans="1:16" x14ac:dyDescent="0.25">
      <c r="A7" s="200">
        <v>1</v>
      </c>
      <c r="B7" s="200">
        <v>2</v>
      </c>
      <c r="C7" s="200">
        <v>3</v>
      </c>
      <c r="D7" s="201">
        <v>4</v>
      </c>
      <c r="E7" s="202">
        <v>5</v>
      </c>
      <c r="F7" s="202">
        <v>6</v>
      </c>
      <c r="G7" s="202">
        <v>7</v>
      </c>
      <c r="H7" s="202">
        <v>8</v>
      </c>
      <c r="I7" s="202">
        <v>9</v>
      </c>
      <c r="J7" s="202">
        <v>10</v>
      </c>
      <c r="K7" s="203">
        <v>11</v>
      </c>
      <c r="N7" s="39"/>
    </row>
    <row r="8" spans="1:16" x14ac:dyDescent="0.25">
      <c r="A8" s="396">
        <f>'инновации+добровольчество0,369'!I27</f>
        <v>1883790.0676417705</v>
      </c>
      <c r="B8" s="396">
        <f>'инновации+добровольчество0,369'!G56</f>
        <v>88559.867159999994</v>
      </c>
      <c r="C8" s="396">
        <f>'инновации+добровольчество0,369'!G138</f>
        <v>297000</v>
      </c>
      <c r="D8" s="397">
        <f>'инновации+добровольчество0,369'!F183</f>
        <v>106683.24865499999</v>
      </c>
      <c r="E8" s="398">
        <f>'инновации+добровольчество0,369'!F255</f>
        <v>366639.98670000001</v>
      </c>
      <c r="F8" s="5">
        <v>0</v>
      </c>
      <c r="G8" s="398">
        <f>'инновации+добровольчество0,369'!G203</f>
        <v>47276.277159999998</v>
      </c>
      <c r="H8" s="398">
        <f>'инновации+добровольчество0,369'!G211</f>
        <v>7380</v>
      </c>
      <c r="I8" s="398">
        <f>'инновации+добровольчество0,369'!I151+'инновации+добровольчество0,369'!F162</f>
        <v>924092.13384103996</v>
      </c>
      <c r="J8" s="5">
        <f>'инновации+добровольчество0,369'!G168+'инновации+добровольчество0,369'!F513</f>
        <v>248189.39999999994</v>
      </c>
      <c r="K8" s="204">
        <f>SUM(A8:J8)</f>
        <v>3969610.9811578104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5" t="s">
        <v>207</v>
      </c>
      <c r="B10" s="519" t="str">
        <f>'патриотика0,369'!B3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19"/>
      <c r="D10" s="519"/>
      <c r="E10" s="519"/>
      <c r="F10" s="519"/>
      <c r="G10" s="519"/>
      <c r="H10" s="519"/>
      <c r="I10" s="519"/>
      <c r="J10" s="519"/>
      <c r="K10" s="519"/>
      <c r="N10" s="192" t="s">
        <v>177</v>
      </c>
      <c r="O10" s="206">
        <f>K8+K15+K23</f>
        <v>11055837.56911057</v>
      </c>
      <c r="P10" s="39">
        <f>K8+K15+K23</f>
        <v>11055837.56911057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166</v>
      </c>
      <c r="O11" s="39">
        <f>N7+N15+N23</f>
        <v>0</v>
      </c>
      <c r="P11" s="39"/>
    </row>
    <row r="12" spans="1:16" ht="45" customHeight="1" x14ac:dyDescent="0.25">
      <c r="A12" s="521" t="s">
        <v>83</v>
      </c>
      <c r="B12" s="522"/>
      <c r="C12" s="522"/>
      <c r="D12" s="521" t="s">
        <v>32</v>
      </c>
      <c r="E12" s="513"/>
      <c r="F12" s="513"/>
      <c r="G12" s="513"/>
      <c r="H12" s="513"/>
      <c r="I12" s="513"/>
      <c r="J12" s="514"/>
      <c r="K12" s="515" t="s">
        <v>33</v>
      </c>
      <c r="P12" s="39"/>
    </row>
    <row r="13" spans="1:16" ht="85.15" customHeight="1" x14ac:dyDescent="0.25">
      <c r="A13" s="194" t="s">
        <v>92</v>
      </c>
      <c r="B13" s="195" t="s">
        <v>93</v>
      </c>
      <c r="C13" s="195" t="s">
        <v>94</v>
      </c>
      <c r="D13" s="196" t="s">
        <v>95</v>
      </c>
      <c r="E13" s="197" t="s">
        <v>96</v>
      </c>
      <c r="F13" s="198" t="s">
        <v>101</v>
      </c>
      <c r="G13" s="199" t="s">
        <v>97</v>
      </c>
      <c r="H13" s="199" t="s">
        <v>100</v>
      </c>
      <c r="I13" s="199" t="s">
        <v>98</v>
      </c>
      <c r="J13" s="199" t="s">
        <v>99</v>
      </c>
      <c r="K13" s="516"/>
      <c r="P13" s="39"/>
    </row>
    <row r="14" spans="1:16" x14ac:dyDescent="0.25">
      <c r="A14" s="207">
        <v>1</v>
      </c>
      <c r="B14" s="207">
        <v>2</v>
      </c>
      <c r="C14" s="207">
        <v>3</v>
      </c>
      <c r="D14" s="208">
        <v>4</v>
      </c>
      <c r="E14" s="202">
        <v>6</v>
      </c>
      <c r="F14" s="202">
        <v>7</v>
      </c>
      <c r="G14" s="202">
        <v>8</v>
      </c>
      <c r="H14" s="202">
        <v>9</v>
      </c>
      <c r="I14" s="202">
        <v>10</v>
      </c>
      <c r="J14" s="202">
        <v>11</v>
      </c>
      <c r="K14" s="203">
        <v>12</v>
      </c>
    </row>
    <row r="15" spans="1:16" x14ac:dyDescent="0.25">
      <c r="A15" s="396">
        <f>'патриотика0,369'!I26</f>
        <v>1883790.0864911999</v>
      </c>
      <c r="B15" s="396">
        <f>'патриотика0,369'!G224</f>
        <v>88559.867159999994</v>
      </c>
      <c r="C15" s="396">
        <f>'патриотика0,369'!F155</f>
        <v>592362.26999999979</v>
      </c>
      <c r="D15" s="397">
        <f>'патриотика0,369'!F205</f>
        <v>106683.24865499999</v>
      </c>
      <c r="E15" s="398">
        <f>'патриотика0,369'!F284</f>
        <v>366639.98670000001</v>
      </c>
      <c r="F15" s="5">
        <v>0</v>
      </c>
      <c r="G15" s="398">
        <f>'патриотика0,369'!G235</f>
        <v>47276.277159999998</v>
      </c>
      <c r="H15" s="398">
        <f>'патриотика0,369'!G243</f>
        <v>7380</v>
      </c>
      <c r="I15" s="398">
        <f>'патриотика0,369'!I170+'патриотика0,369'!F180</f>
        <v>924092.12384103995</v>
      </c>
      <c r="J15" s="5">
        <f>'патриотика0,369'!G211+'патриотика0,369'!F537</f>
        <v>248189.39999999994</v>
      </c>
      <c r="K15" s="204">
        <f>SUM(A15:J15)</f>
        <v>4264973.2600072399</v>
      </c>
      <c r="N15" s="39"/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5" t="s">
        <v>207</v>
      </c>
      <c r="B18" s="519" t="str">
        <f>'таланты+инициативы0,262'!B3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19"/>
      <c r="D18" s="519"/>
      <c r="E18" s="519"/>
      <c r="F18" s="519"/>
      <c r="G18" s="519"/>
      <c r="H18" s="519"/>
      <c r="I18" s="519"/>
      <c r="J18" s="519"/>
      <c r="K18" s="519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10" t="s">
        <v>40</v>
      </c>
      <c r="B20" s="511"/>
      <c r="C20" s="511"/>
      <c r="D20" s="512" t="s">
        <v>32</v>
      </c>
      <c r="E20" s="513"/>
      <c r="F20" s="513"/>
      <c r="G20" s="513"/>
      <c r="H20" s="513"/>
      <c r="I20" s="513"/>
      <c r="J20" s="514"/>
      <c r="K20" s="515" t="s">
        <v>33</v>
      </c>
    </row>
    <row r="21" spans="1:14" ht="84" customHeight="1" x14ac:dyDescent="0.25">
      <c r="A21" s="198" t="s">
        <v>92</v>
      </c>
      <c r="B21" s="198" t="s">
        <v>93</v>
      </c>
      <c r="C21" s="198" t="s">
        <v>94</v>
      </c>
      <c r="D21" s="209" t="s">
        <v>95</v>
      </c>
      <c r="E21" s="210" t="s">
        <v>96</v>
      </c>
      <c r="F21" s="198" t="s">
        <v>101</v>
      </c>
      <c r="G21" s="211" t="s">
        <v>97</v>
      </c>
      <c r="H21" s="211" t="s">
        <v>100</v>
      </c>
      <c r="I21" s="211" t="s">
        <v>98</v>
      </c>
      <c r="J21" s="211" t="s">
        <v>99</v>
      </c>
      <c r="K21" s="516"/>
    </row>
    <row r="22" spans="1:14" x14ac:dyDescent="0.25">
      <c r="A22" s="207">
        <v>1</v>
      </c>
      <c r="B22" s="207">
        <v>2</v>
      </c>
      <c r="C22" s="207">
        <v>3</v>
      </c>
      <c r="D22" s="201">
        <v>5</v>
      </c>
      <c r="E22" s="202">
        <v>6</v>
      </c>
      <c r="F22" s="202">
        <v>7</v>
      </c>
      <c r="G22" s="202">
        <v>8</v>
      </c>
      <c r="H22" s="202">
        <v>9</v>
      </c>
      <c r="I22" s="202">
        <v>10</v>
      </c>
      <c r="J22" s="202">
        <v>11</v>
      </c>
      <c r="K22" s="203">
        <v>12</v>
      </c>
    </row>
    <row r="23" spans="1:14" x14ac:dyDescent="0.25">
      <c r="A23" s="396">
        <f>'таланты+инициативы0,262'!I26</f>
        <v>1337541.9118176003</v>
      </c>
      <c r="B23" s="489">
        <f>'таланты+инициативы0,262'!G175</f>
        <v>62879.995680000007</v>
      </c>
      <c r="C23" s="489">
        <f>'таланты+инициативы0,262'!G124</f>
        <v>213600</v>
      </c>
      <c r="D23" s="488">
        <f>'таланты+инициативы0,262'!F160</f>
        <v>75747.997690000004</v>
      </c>
      <c r="E23" s="487">
        <f>'таланты+инициативы0,262'!F225</f>
        <v>260324.32660000003</v>
      </c>
      <c r="F23" s="5">
        <v>0</v>
      </c>
      <c r="G23" s="487">
        <f>'таланты+инициативы0,262'!G186</f>
        <v>33567.435680000002</v>
      </c>
      <c r="H23" s="487">
        <f>'таланты+инициативы0,262'!G194</f>
        <v>5240</v>
      </c>
      <c r="I23" s="398">
        <f>'таланты+инициативы0,262'!I145+'таланты+инициативы0,262'!G133</f>
        <v>656130.46047792013</v>
      </c>
      <c r="J23" s="5">
        <f>'таланты+инициативы0,262'!G165+'таланты+инициативы0,262'!F478</f>
        <v>176221.19999999995</v>
      </c>
      <c r="K23" s="204">
        <f>SUM(A23:J23)</f>
        <v>2821253.3279455202</v>
      </c>
      <c r="N23" s="39"/>
    </row>
    <row r="24" spans="1:14" x14ac:dyDescent="0.25">
      <c r="A24" s="45"/>
      <c r="B24" s="45"/>
      <c r="C24" s="45"/>
      <c r="D24" s="186"/>
      <c r="E24" s="45"/>
      <c r="F24" s="45"/>
      <c r="G24" s="45"/>
      <c r="H24" s="45"/>
      <c r="I24" s="45"/>
      <c r="J24" s="45"/>
      <c r="K24" s="45"/>
    </row>
    <row r="26" spans="1:14" x14ac:dyDescent="0.25">
      <c r="B26" s="206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423"/>
  <sheetViews>
    <sheetView topLeftCell="A342" workbookViewId="0">
      <selection sqref="A1:E382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46" t="s">
        <v>580</v>
      </c>
      <c r="E1" s="546"/>
      <c r="F1" s="143"/>
    </row>
    <row r="3" spans="1:6" x14ac:dyDescent="0.25">
      <c r="A3" s="547" t="s">
        <v>124</v>
      </c>
      <c r="B3" s="547"/>
      <c r="C3" s="547"/>
      <c r="D3" s="547"/>
      <c r="E3" s="547"/>
    </row>
    <row r="4" spans="1:6" ht="35.450000000000003" customHeight="1" x14ac:dyDescent="0.25">
      <c r="A4" s="548" t="s">
        <v>148</v>
      </c>
      <c r="B4" s="548"/>
      <c r="C4" s="548"/>
      <c r="D4" s="548"/>
      <c r="E4" s="548"/>
    </row>
    <row r="5" spans="1:6" ht="60" x14ac:dyDescent="0.25">
      <c r="A5" s="104" t="s">
        <v>125</v>
      </c>
      <c r="B5" s="105" t="s">
        <v>126</v>
      </c>
      <c r="C5" s="104" t="s">
        <v>127</v>
      </c>
      <c r="D5" s="104" t="s">
        <v>128</v>
      </c>
      <c r="E5" s="104" t="s">
        <v>129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530" t="s">
        <v>48</v>
      </c>
      <c r="B7" s="529" t="s">
        <v>149</v>
      </c>
      <c r="C7" s="549" t="s">
        <v>130</v>
      </c>
      <c r="D7" s="550"/>
      <c r="E7" s="551"/>
    </row>
    <row r="8" spans="1:6" ht="14.45" customHeight="1" x14ac:dyDescent="0.25">
      <c r="A8" s="530"/>
      <c r="B8" s="529"/>
      <c r="C8" s="552" t="s">
        <v>131</v>
      </c>
      <c r="D8" s="553"/>
      <c r="E8" s="554"/>
    </row>
    <row r="9" spans="1:6" ht="15" customHeight="1" x14ac:dyDescent="0.25">
      <c r="A9" s="530"/>
      <c r="B9" s="529"/>
      <c r="C9" s="109" t="s">
        <v>138</v>
      </c>
      <c r="D9" s="108" t="s">
        <v>132</v>
      </c>
      <c r="E9" s="235">
        <f>'инновации+добровольчество0,369'!D26</f>
        <v>2.0663999999999998</v>
      </c>
    </row>
    <row r="10" spans="1:6" ht="15" customHeight="1" x14ac:dyDescent="0.25">
      <c r="A10" s="530"/>
      <c r="B10" s="529"/>
      <c r="C10" s="109" t="s">
        <v>91</v>
      </c>
      <c r="D10" s="107" t="s">
        <v>132</v>
      </c>
      <c r="E10" s="236">
        <f>'инновации+добровольчество0,369'!D25</f>
        <v>0.36899999999999999</v>
      </c>
    </row>
    <row r="11" spans="1:6" ht="13.9" customHeight="1" x14ac:dyDescent="0.25">
      <c r="A11" s="530"/>
      <c r="B11" s="529"/>
      <c r="C11" s="543" t="s">
        <v>142</v>
      </c>
      <c r="D11" s="544"/>
      <c r="E11" s="545"/>
    </row>
    <row r="12" spans="1:6" ht="40.15" customHeight="1" x14ac:dyDescent="0.25">
      <c r="A12" s="530"/>
      <c r="B12" s="529"/>
      <c r="C12" s="120" t="s">
        <v>194</v>
      </c>
      <c r="D12" s="101" t="s">
        <v>39</v>
      </c>
      <c r="E12" s="230">
        <f>'инновации+добровольчество0,369'!E53</f>
        <v>28.044</v>
      </c>
    </row>
    <row r="13" spans="1:6" ht="25.15" customHeight="1" x14ac:dyDescent="0.25">
      <c r="A13" s="530"/>
      <c r="B13" s="529"/>
      <c r="C13" s="120" t="s">
        <v>195</v>
      </c>
      <c r="D13" s="101" t="s">
        <v>39</v>
      </c>
      <c r="E13" s="230">
        <f>'инновации+добровольчество0,369'!E54</f>
        <v>7.0110000000000001</v>
      </c>
    </row>
    <row r="14" spans="1:6" ht="21" customHeight="1" x14ac:dyDescent="0.25">
      <c r="A14" s="530"/>
      <c r="B14" s="529"/>
      <c r="C14" s="120" t="s">
        <v>196</v>
      </c>
      <c r="D14" s="101" t="s">
        <v>39</v>
      </c>
      <c r="E14" s="230">
        <f>'инновации+добровольчество0,369'!E55</f>
        <v>21.033000000000001</v>
      </c>
    </row>
    <row r="15" spans="1:6" ht="32.25" customHeight="1" x14ac:dyDescent="0.25">
      <c r="A15" s="530"/>
      <c r="B15" s="529"/>
      <c r="C15" s="531" t="s">
        <v>143</v>
      </c>
      <c r="D15" s="532"/>
      <c r="E15" s="533"/>
    </row>
    <row r="16" spans="1:6" ht="12" customHeight="1" x14ac:dyDescent="0.25">
      <c r="A16" s="530"/>
      <c r="B16" s="529"/>
      <c r="C16" s="768" t="str">
        <f>'инновации+добровольчество0,369'!A66</f>
        <v>конкурс краткосрочных мини-грантов Главы Северо-Енисейского района для школьных общественных движений Северо-Енисейского района, посвященного 76-летию победы в Великой Отечественной войне</v>
      </c>
      <c r="D16" s="768" t="str">
        <f>'инновации+добровольчество0,369'!D66</f>
        <v>ед</v>
      </c>
      <c r="E16" s="770">
        <f>'инновации+добровольчество0,369'!E66</f>
        <v>1</v>
      </c>
    </row>
    <row r="17" spans="1:5" ht="12" customHeight="1" x14ac:dyDescent="0.25">
      <c r="A17" s="530"/>
      <c r="B17" s="529"/>
      <c r="C17" s="768" t="str">
        <f>'инновации+добровольчество0,369'!A67</f>
        <v>снежколеп</v>
      </c>
      <c r="D17" s="768" t="str">
        <f>'инновации+добровольчество0,369'!D67</f>
        <v>ед</v>
      </c>
      <c r="E17" s="770">
        <f>'инновации+добровольчество0,369'!E67</f>
        <v>2</v>
      </c>
    </row>
    <row r="18" spans="1:5" ht="12" customHeight="1" x14ac:dyDescent="0.25">
      <c r="A18" s="530"/>
      <c r="B18" s="529"/>
      <c r="C18" s="768" t="str">
        <f>'инновации+добровольчество0,369'!A69</f>
        <v>клюшка для флорбола</v>
      </c>
      <c r="D18" s="768" t="str">
        <f>'инновации+добровольчество0,369'!D69</f>
        <v>ед</v>
      </c>
      <c r="E18" s="770">
        <f>'инновации+добровольчество0,369'!E69</f>
        <v>14</v>
      </c>
    </row>
    <row r="19" spans="1:5" ht="12" customHeight="1" x14ac:dyDescent="0.25">
      <c r="A19" s="530"/>
      <c r="B19" s="529"/>
      <c r="C19" s="768" t="str">
        <f>'инновации+добровольчество0,369'!A71</f>
        <v>Фестивальная краска «Холли» (набор из 7 шт)</v>
      </c>
      <c r="D19" s="768" t="str">
        <f>'инновации+добровольчество0,369'!D71</f>
        <v>ед</v>
      </c>
      <c r="E19" s="770">
        <f>'инновации+добровольчество0,369'!E71</f>
        <v>5</v>
      </c>
    </row>
    <row r="20" spans="1:5" ht="12" customHeight="1" x14ac:dyDescent="0.25">
      <c r="A20" s="530"/>
      <c r="B20" s="529"/>
      <c r="C20" s="768" t="str">
        <f>'инновации+добровольчество0,369'!A72</f>
        <v>Аквагрим театральный, 240 мл, набор 12 цветов</v>
      </c>
      <c r="D20" s="768" t="str">
        <f>'инновации+добровольчество0,369'!D72</f>
        <v>ед</v>
      </c>
      <c r="E20" s="770">
        <f>'инновации+добровольчество0,369'!E72</f>
        <v>1</v>
      </c>
    </row>
    <row r="21" spans="1:5" ht="12" customHeight="1" x14ac:dyDescent="0.25">
      <c r="A21" s="530"/>
      <c r="B21" s="529"/>
      <c r="C21" s="768" t="str">
        <f>'инновации+добровольчество0,369'!A73</f>
        <v>Кисть для нанесения аквагрима</v>
      </c>
      <c r="D21" s="768" t="str">
        <f>'инновации+добровольчество0,369'!D73</f>
        <v>ед</v>
      </c>
      <c r="E21" s="770">
        <f>'инновации+добровольчество0,369'!E73</f>
        <v>10</v>
      </c>
    </row>
    <row r="22" spans="1:5" ht="12" customHeight="1" x14ac:dyDescent="0.25">
      <c r="A22" s="530"/>
      <c r="B22" s="529"/>
      <c r="C22" s="768" t="str">
        <f>'инновации+добровольчество0,369'!A75</f>
        <v>ДВП Двухсторонее, 122х217х5</v>
      </c>
      <c r="D22" s="768" t="str">
        <f>'инновации+добровольчество0,369'!D75</f>
        <v>ед</v>
      </c>
      <c r="E22" s="770">
        <f>'инновации+добровольчество0,369'!E75</f>
        <v>6</v>
      </c>
    </row>
    <row r="23" spans="1:5" ht="12" customHeight="1" x14ac:dyDescent="0.25">
      <c r="A23" s="530"/>
      <c r="B23" s="529"/>
      <c r="C23" s="768" t="str">
        <f>'инновации+добровольчество0,369'!A76</f>
        <v>Фанера 152х152х6</v>
      </c>
      <c r="D23" s="768" t="str">
        <f>'инновации+добровольчество0,369'!D76</f>
        <v>ед</v>
      </c>
      <c r="E23" s="770">
        <f>'инновации+добровольчество0,369'!E76</f>
        <v>6</v>
      </c>
    </row>
    <row r="24" spans="1:5" ht="12" customHeight="1" x14ac:dyDescent="0.25">
      <c r="A24" s="530"/>
      <c r="B24" s="529"/>
      <c r="C24" s="768" t="str">
        <f>'инновации+добровольчество0,369'!A77</f>
        <v>Фанера 152х152х10</v>
      </c>
      <c r="D24" s="768" t="str">
        <f>'инновации+добровольчество0,369'!D77</f>
        <v>ед</v>
      </c>
      <c r="E24" s="770">
        <f>'инновации+добровольчество0,369'!E77</f>
        <v>4</v>
      </c>
    </row>
    <row r="25" spans="1:5" ht="12" customHeight="1" x14ac:dyDescent="0.25">
      <c r="A25" s="530"/>
      <c r="B25" s="529"/>
      <c r="C25" s="768" t="str">
        <f>'инновации+добровольчество0,369'!A78</f>
        <v>Брусок 50х50х3000</v>
      </c>
      <c r="D25" s="768" t="str">
        <f>'инновации+добровольчество0,369'!D78</f>
        <v>ед</v>
      </c>
      <c r="E25" s="770">
        <f>'инновации+добровольчество0,369'!E78</f>
        <v>10</v>
      </c>
    </row>
    <row r="26" spans="1:5" ht="12" customHeight="1" x14ac:dyDescent="0.25">
      <c r="A26" s="530"/>
      <c r="B26" s="529"/>
      <c r="C26" s="768" t="str">
        <f>'инновации+добровольчество0,369'!A79</f>
        <v>Ковролиновая дорожка Antwerpen 6059 (зеленый)</v>
      </c>
      <c r="D26" s="768" t="str">
        <f>'инновации+добровольчество0,369'!D79</f>
        <v>ед</v>
      </c>
      <c r="E26" s="770">
        <f>'инновации+добровольчество0,369'!E79</f>
        <v>16</v>
      </c>
    </row>
    <row r="27" spans="1:5" ht="12" customHeight="1" x14ac:dyDescent="0.25">
      <c r="A27" s="530"/>
      <c r="B27" s="529"/>
      <c r="C27" s="768" t="str">
        <f>'инновации+добровольчество0,369'!A80</f>
        <v>Банер "Прорыв" 2*3м</v>
      </c>
      <c r="D27" s="768" t="str">
        <f>'инновации+добровольчество0,369'!D80</f>
        <v>ед</v>
      </c>
      <c r="E27" s="770">
        <f>'инновации+добровольчество0,369'!E80</f>
        <v>1</v>
      </c>
    </row>
    <row r="28" spans="1:5" ht="12" customHeight="1" x14ac:dyDescent="0.25">
      <c r="A28" s="530"/>
      <c r="B28" s="529"/>
      <c r="C28" s="768" t="str">
        <f>'инновации+добровольчество0,369'!A81</f>
        <v xml:space="preserve">Футболка с лого </v>
      </c>
      <c r="D28" s="768" t="str">
        <f>'инновации+добровольчество0,369'!D81</f>
        <v>ед</v>
      </c>
      <c r="E28" s="770">
        <f>'инновации+добровольчество0,369'!E81</f>
        <v>4</v>
      </c>
    </row>
    <row r="29" spans="1:5" ht="12" customHeight="1" x14ac:dyDescent="0.25">
      <c r="A29" s="530"/>
      <c r="B29" s="529"/>
      <c r="C29" s="768" t="str">
        <f>'инновации+добровольчество0,369'!A83</f>
        <v>Мяч футбольный</v>
      </c>
      <c r="D29" s="768" t="str">
        <f>'инновации+добровольчество0,369'!D83</f>
        <v>ед</v>
      </c>
      <c r="E29" s="770">
        <f>'инновации+добровольчество0,369'!E83</f>
        <v>2</v>
      </c>
    </row>
    <row r="30" spans="1:5" ht="12" customHeight="1" x14ac:dyDescent="0.25">
      <c r="A30" s="530"/>
      <c r="B30" s="529"/>
      <c r="C30" s="768" t="str">
        <f>'инновации+добровольчество0,369'!A84</f>
        <v>Мяч для доджбола</v>
      </c>
      <c r="D30" s="768" t="str">
        <f>'инновации+добровольчество0,369'!D84</f>
        <v>ед</v>
      </c>
      <c r="E30" s="770">
        <f>'инновации+добровольчество0,369'!E84</f>
        <v>10</v>
      </c>
    </row>
    <row r="31" spans="1:5" ht="12" customHeight="1" x14ac:dyDescent="0.25">
      <c r="A31" s="530"/>
      <c r="B31" s="529"/>
      <c r="C31" s="768" t="str">
        <f>'инновации+добровольчество0,369'!A85</f>
        <v>Свисток</v>
      </c>
      <c r="D31" s="768" t="str">
        <f>'инновации+добровольчество0,369'!D85</f>
        <v>ед</v>
      </c>
      <c r="E31" s="770">
        <f>'инновации+добровольчество0,369'!E85</f>
        <v>2</v>
      </c>
    </row>
    <row r="32" spans="1:5" ht="12" customHeight="1" x14ac:dyDescent="0.25">
      <c r="A32" s="530"/>
      <c r="B32" s="529"/>
      <c r="C32" s="768" t="str">
        <f>'инновации+добровольчество0,369'!A86</f>
        <v>Секундомер</v>
      </c>
      <c r="D32" s="768" t="str">
        <f>'инновации+добровольчество0,369'!D86</f>
        <v>ед</v>
      </c>
      <c r="E32" s="770">
        <f>'инновации+добровольчество0,369'!E86</f>
        <v>2</v>
      </c>
    </row>
    <row r="33" spans="1:5" ht="12" customHeight="1" x14ac:dyDescent="0.25">
      <c r="A33" s="530"/>
      <c r="B33" s="529"/>
      <c r="C33" s="768" t="str">
        <f>'инновации+добровольчество0,369'!A87</f>
        <v>Манишка с номером</v>
      </c>
      <c r="D33" s="768" t="str">
        <f>'инновации+добровольчество0,369'!D87</f>
        <v>ед</v>
      </c>
      <c r="E33" s="770">
        <f>'инновации+добровольчество0,369'!E87</f>
        <v>32</v>
      </c>
    </row>
    <row r="34" spans="1:5" ht="12" customHeight="1" x14ac:dyDescent="0.25">
      <c r="A34" s="530"/>
      <c r="B34" s="529"/>
      <c r="C34" s="768" t="str">
        <f>'инновации+добровольчество0,369'!A88</f>
        <v>Мяч полиуретан</v>
      </c>
      <c r="D34" s="768" t="str">
        <f>'инновации+добровольчество0,369'!D88</f>
        <v>ед</v>
      </c>
      <c r="E34" s="770">
        <f>'инновации+добровольчество0,369'!E88</f>
        <v>80</v>
      </c>
    </row>
    <row r="35" spans="1:5" ht="12" customHeight="1" x14ac:dyDescent="0.25">
      <c r="A35" s="530"/>
      <c r="B35" s="529"/>
      <c r="C35" s="768" t="str">
        <f>'инновации+добровольчество0,369'!A89</f>
        <v>Флаг с надписью юкигассен</v>
      </c>
      <c r="D35" s="768" t="str">
        <f>'инновации+добровольчество0,369'!D89</f>
        <v>ед</v>
      </c>
      <c r="E35" s="770">
        <f>'инновации+добровольчество0,369'!E89</f>
        <v>2</v>
      </c>
    </row>
    <row r="36" spans="1:5" ht="12" customHeight="1" x14ac:dyDescent="0.25">
      <c r="A36" s="530"/>
      <c r="B36" s="529"/>
      <c r="C36" s="768" t="str">
        <f>'инновации+добровольчество0,369'!A90</f>
        <v>Сетка футбольная</v>
      </c>
      <c r="D36" s="768" t="str">
        <f>'инновации+добровольчество0,369'!D90</f>
        <v>ед</v>
      </c>
      <c r="E36" s="770">
        <f>'инновации+добровольчество0,369'!E90</f>
        <v>2</v>
      </c>
    </row>
    <row r="37" spans="1:5" ht="12" customHeight="1" x14ac:dyDescent="0.25">
      <c r="A37" s="530"/>
      <c r="B37" s="529"/>
      <c r="C37" s="768" t="str">
        <f>'инновации+добровольчество0,369'!A91</f>
        <v>Каска с экраном</v>
      </c>
      <c r="D37" s="768" t="str">
        <f>'инновации+добровольчество0,369'!D91</f>
        <v>ед</v>
      </c>
      <c r="E37" s="770">
        <f>'инновации+добровольчество0,369'!E91</f>
        <v>14</v>
      </c>
    </row>
    <row r="38" spans="1:5" ht="12" customHeight="1" x14ac:dyDescent="0.25">
      <c r="A38" s="530"/>
      <c r="B38" s="529"/>
      <c r="C38" s="768" t="str">
        <f>'инновации+добровольчество0,369'!A93</f>
        <v>Памятная плитка для обелиска (композит, гравировка 0,2х0,3 м)</v>
      </c>
      <c r="D38" s="768" t="str">
        <f>'инновации+добровольчество0,369'!D93</f>
        <v>ед</v>
      </c>
      <c r="E38" s="770">
        <f>'инновации+добровольчество0,369'!E93</f>
        <v>1</v>
      </c>
    </row>
    <row r="39" spans="1:5" ht="12" customHeight="1" x14ac:dyDescent="0.25">
      <c r="A39" s="530"/>
      <c r="B39" s="529"/>
      <c r="C39" s="768" t="str">
        <f>'инновации+добровольчество0,369'!A94</f>
        <v>Краска по металлу (черная)</v>
      </c>
      <c r="D39" s="768" t="str">
        <f>'инновации+добровольчество0,369'!D94</f>
        <v>ед</v>
      </c>
      <c r="E39" s="770">
        <f>'инновации+добровольчество0,369'!E94</f>
        <v>3</v>
      </c>
    </row>
    <row r="40" spans="1:5" ht="12" customHeight="1" x14ac:dyDescent="0.25">
      <c r="A40" s="530"/>
      <c r="B40" s="529"/>
      <c r="C40" s="768" t="str">
        <f>'инновации+добровольчество0,369'!A95</f>
        <v>Шпатлевка по металлу для наружных работ</v>
      </c>
      <c r="D40" s="768" t="str">
        <f>'инновации+добровольчество0,369'!D95</f>
        <v>ед</v>
      </c>
      <c r="E40" s="770">
        <f>'инновации+добровольчество0,369'!E95</f>
        <v>2</v>
      </c>
    </row>
    <row r="41" spans="1:5" ht="12" customHeight="1" x14ac:dyDescent="0.25">
      <c r="A41" s="530"/>
      <c r="B41" s="529"/>
      <c r="C41" s="768" t="str">
        <f>'инновации+добровольчество0,369'!A96</f>
        <v>Набор малярный (валик поролон 180мм, сменный валик, ванночка</v>
      </c>
      <c r="D41" s="768" t="str">
        <f>'инновации+добровольчество0,369'!D96</f>
        <v>ед</v>
      </c>
      <c r="E41" s="770">
        <f>'инновации+добровольчество0,369'!E96</f>
        <v>1</v>
      </c>
    </row>
    <row r="42" spans="1:5" ht="12" customHeight="1" x14ac:dyDescent="0.25">
      <c r="A42" s="530"/>
      <c r="B42" s="529"/>
      <c r="C42" s="768" t="str">
        <f>'инновации+добровольчество0,369'!A97</f>
        <v>Мусорные мешки ПВХ (180 л, в упаковке 10 шт)</v>
      </c>
      <c r="D42" s="768" t="str">
        <f>'инновации+добровольчество0,369'!D97</f>
        <v>ед</v>
      </c>
      <c r="E42" s="770">
        <f>'инновации+добровольчество0,369'!E97</f>
        <v>3</v>
      </c>
    </row>
    <row r="43" spans="1:5" ht="12" customHeight="1" x14ac:dyDescent="0.25">
      <c r="A43" s="530"/>
      <c r="B43" s="529"/>
      <c r="C43" s="768" t="str">
        <f>'инновации+добровольчество0,369'!A98</f>
        <v>Перчатки рабочие</v>
      </c>
      <c r="D43" s="768" t="str">
        <f>'инновации+добровольчество0,369'!D98</f>
        <v>ед</v>
      </c>
      <c r="E43" s="770">
        <f>'инновации+добровольчество0,369'!E98</f>
        <v>10</v>
      </c>
    </row>
    <row r="44" spans="1:5" ht="12" customHeight="1" x14ac:dyDescent="0.25">
      <c r="A44" s="530"/>
      <c r="B44" s="529"/>
      <c r="C44" s="768" t="str">
        <f>'инновации+добровольчество0,369'!A99</f>
        <v>Цемент быстротвердеющий мешок 25 кг</v>
      </c>
      <c r="D44" s="768" t="str">
        <f>'инновации+добровольчество0,369'!D99</f>
        <v>ед</v>
      </c>
      <c r="E44" s="770">
        <f>'инновации+добровольчество0,369'!E99</f>
        <v>1</v>
      </c>
    </row>
    <row r="45" spans="1:5" ht="12" customHeight="1" x14ac:dyDescent="0.25">
      <c r="A45" s="530"/>
      <c r="B45" s="529"/>
      <c r="C45" s="768" t="str">
        <f>'инновации+добровольчество0,369'!A100</f>
        <v>Наждачная бумага Р100 230х280</v>
      </c>
      <c r="D45" s="768" t="str">
        <f>'инновации+добровольчество0,369'!D100</f>
        <v>ед</v>
      </c>
      <c r="E45" s="770">
        <f>'инновации+добровольчество0,369'!E100</f>
        <v>10</v>
      </c>
    </row>
    <row r="46" spans="1:5" ht="12" customHeight="1" x14ac:dyDescent="0.25">
      <c r="A46" s="530"/>
      <c r="B46" s="529"/>
      <c r="C46" s="768" t="str">
        <f>'инновации+добровольчество0,369'!A101</f>
        <v>Проект "Территория творческих талантов"</v>
      </c>
      <c r="D46" s="768" t="str">
        <f>'инновации+добровольчество0,369'!D101</f>
        <v>ед</v>
      </c>
      <c r="E46" s="770">
        <f>'инновации+добровольчество0,369'!E101</f>
        <v>0</v>
      </c>
    </row>
    <row r="47" spans="1:5" ht="12" customHeight="1" x14ac:dyDescent="0.25">
      <c r="A47" s="530"/>
      <c r="B47" s="529"/>
      <c r="C47" s="768" t="str">
        <f>'инновации+добровольчество0,369'!A102</f>
        <v>набор тарелок для барабанной установки</v>
      </c>
      <c r="D47" s="768" t="str">
        <f>'инновации+добровольчество0,369'!D102</f>
        <v>ед</v>
      </c>
      <c r="E47" s="770">
        <f>'инновации+добровольчество0,369'!E102</f>
        <v>1</v>
      </c>
    </row>
    <row r="48" spans="1:5" ht="12" customHeight="1" x14ac:dyDescent="0.25">
      <c r="A48" s="530"/>
      <c r="B48" s="529"/>
      <c r="C48" s="768" t="str">
        <f>'инновации+добровольчество0,369'!A103</f>
        <v>комплект стоек для барабанов</v>
      </c>
      <c r="D48" s="768" t="str">
        <f>'инновации+добровольчество0,369'!D103</f>
        <v>ед</v>
      </c>
      <c r="E48" s="770">
        <f>'инновации+добровольчество0,369'!E103</f>
        <v>1</v>
      </c>
    </row>
    <row r="49" spans="1:5" ht="12" customHeight="1" x14ac:dyDescent="0.25">
      <c r="A49" s="530"/>
      <c r="B49" s="529"/>
      <c r="C49" s="768" t="str">
        <f>'инновации+добровольчество0,369'!A104</f>
        <v>фонарь налобный</v>
      </c>
      <c r="D49" s="768" t="str">
        <f>'инновации+добровольчество0,369'!D104</f>
        <v>ед</v>
      </c>
      <c r="E49" s="770">
        <f>'инновации+добровольчество0,369'!E104</f>
        <v>10</v>
      </c>
    </row>
    <row r="50" spans="1:5" ht="12" customHeight="1" x14ac:dyDescent="0.25">
      <c r="A50" s="530"/>
      <c r="B50" s="529"/>
      <c r="C50" s="768" t="str">
        <f>'инновации+добровольчество0,369'!A105</f>
        <v>Настольная игра Колонизаторы</v>
      </c>
      <c r="D50" s="768" t="str">
        <f>'инновации+добровольчество0,369'!D105</f>
        <v>ед</v>
      </c>
      <c r="E50" s="770">
        <f>'инновации+добровольчество0,369'!E105</f>
        <v>1</v>
      </c>
    </row>
    <row r="51" spans="1:5" ht="12" customHeight="1" x14ac:dyDescent="0.25">
      <c r="A51" s="530"/>
      <c r="B51" s="529"/>
      <c r="C51" s="768" t="str">
        <f>'инновации+добровольчество0,369'!A106</f>
        <v>Настольная игра Энергосеть</v>
      </c>
      <c r="D51" s="768" t="str">
        <f>'инновации+добровольчество0,369'!D106</f>
        <v>ед</v>
      </c>
      <c r="E51" s="770">
        <f>'инновации+добровольчество0,369'!E106</f>
        <v>1</v>
      </c>
    </row>
    <row r="52" spans="1:5" ht="12" customHeight="1" x14ac:dyDescent="0.25">
      <c r="A52" s="530"/>
      <c r="B52" s="529"/>
      <c r="C52" s="768" t="str">
        <f>'инновации+добровольчество0,369'!A107</f>
        <v>Настольная игра Диксит</v>
      </c>
      <c r="D52" s="768" t="str">
        <f>'инновации+добровольчество0,369'!D107</f>
        <v>ед</v>
      </c>
      <c r="E52" s="770">
        <f>'инновации+добровольчество0,369'!E107</f>
        <v>1</v>
      </c>
    </row>
    <row r="53" spans="1:5" ht="12" customHeight="1" x14ac:dyDescent="0.25">
      <c r="A53" s="530"/>
      <c r="B53" s="529"/>
      <c r="C53" s="768" t="str">
        <f>'инновации+добровольчество0,369'!A108</f>
        <v>Настольная игра Билет на поезд</v>
      </c>
      <c r="D53" s="768" t="str">
        <f>'инновации+добровольчество0,369'!D108</f>
        <v>ед</v>
      </c>
      <c r="E53" s="770">
        <f>'инновации+добровольчество0,369'!E108</f>
        <v>1</v>
      </c>
    </row>
    <row r="54" spans="1:5" ht="12" customHeight="1" x14ac:dyDescent="0.25">
      <c r="A54" s="530"/>
      <c r="B54" s="529"/>
      <c r="C54" s="768" t="str">
        <f>'инновации+добровольчество0,369'!A109</f>
        <v>Настольная игра Агрикола</v>
      </c>
      <c r="D54" s="768" t="str">
        <f>'инновации+добровольчество0,369'!D109</f>
        <v>ед</v>
      </c>
      <c r="E54" s="770">
        <f>'инновации+добровольчество0,369'!E109</f>
        <v>1</v>
      </c>
    </row>
    <row r="55" spans="1:5" ht="12" customHeight="1" x14ac:dyDescent="0.25">
      <c r="A55" s="530"/>
      <c r="B55" s="529"/>
      <c r="C55" s="768" t="str">
        <f>'инновации+добровольчество0,369'!A110</f>
        <v>Настольная игра Каркассон</v>
      </c>
      <c r="D55" s="768" t="str">
        <f>'инновации+добровольчество0,369'!D110</f>
        <v>ед</v>
      </c>
      <c r="E55" s="770">
        <f>'инновации+добровольчество0,369'!E110</f>
        <v>1</v>
      </c>
    </row>
    <row r="56" spans="1:5" ht="12" customHeight="1" x14ac:dyDescent="0.25">
      <c r="A56" s="530"/>
      <c r="B56" s="529"/>
      <c r="C56" s="768" t="str">
        <f>'инновации+добровольчество0,369'!A111</f>
        <v>Настольная игра Маленький мир</v>
      </c>
      <c r="D56" s="768" t="str">
        <f>'инновации+добровольчество0,369'!D111</f>
        <v>ед</v>
      </c>
      <c r="E56" s="770">
        <f>'инновации+добровольчество0,369'!E111</f>
        <v>1</v>
      </c>
    </row>
    <row r="57" spans="1:5" ht="12" customHeight="1" x14ac:dyDescent="0.25">
      <c r="A57" s="530"/>
      <c r="B57" s="529"/>
      <c r="C57" s="768" t="str">
        <f>'инновации+добровольчество0,369'!A112</f>
        <v>Настольная игра Подземелья и драконы</v>
      </c>
      <c r="D57" s="768" t="str">
        <f>'инновации+добровольчество0,369'!D112</f>
        <v>ед</v>
      </c>
      <c r="E57" s="770">
        <f>'инновации+добровольчество0,369'!E112</f>
        <v>1</v>
      </c>
    </row>
    <row r="58" spans="1:5" ht="12" customHeight="1" x14ac:dyDescent="0.25">
      <c r="A58" s="530"/>
      <c r="B58" s="529"/>
      <c r="C58" s="768" t="str">
        <f>'инновации+добровольчество0,369'!A113</f>
        <v>Настольная игра Дарджилинг</v>
      </c>
      <c r="D58" s="768" t="str">
        <f>'инновации+добровольчество0,369'!D113</f>
        <v>ед</v>
      </c>
      <c r="E58" s="770">
        <f>'инновации+добровольчество0,369'!E113</f>
        <v>1</v>
      </c>
    </row>
    <row r="59" spans="1:5" ht="12" customHeight="1" x14ac:dyDescent="0.25">
      <c r="A59" s="530"/>
      <c r="B59" s="529"/>
      <c r="C59" s="768" t="str">
        <f>'инновации+добровольчество0,369'!A114</f>
        <v>Настольная игра Финка</v>
      </c>
      <c r="D59" s="768" t="str">
        <f>'инновации+добровольчество0,369'!D114</f>
        <v>ед</v>
      </c>
      <c r="E59" s="770">
        <f>'инновации+добровольчество0,369'!E114</f>
        <v>1</v>
      </c>
    </row>
    <row r="60" spans="1:5" ht="12" customHeight="1" x14ac:dyDescent="0.25">
      <c r="A60" s="530"/>
      <c r="B60" s="529"/>
      <c r="C60" s="768" t="str">
        <f>'инновации+добровольчество0,369'!A115</f>
        <v>Настольная игра Имаджинариум</v>
      </c>
      <c r="D60" s="768" t="str">
        <f>'инновации+добровольчество0,369'!D115</f>
        <v>ед</v>
      </c>
      <c r="E60" s="770">
        <f>'инновации+добровольчество0,369'!E115</f>
        <v>1</v>
      </c>
    </row>
    <row r="61" spans="1:5" ht="12" customHeight="1" x14ac:dyDescent="0.25">
      <c r="A61" s="530"/>
      <c r="B61" s="529"/>
      <c r="C61" s="768" t="str">
        <f>'инновации+добровольчество0,369'!A116</f>
        <v>Настольная игра Скраббл</v>
      </c>
      <c r="D61" s="768" t="str">
        <f>'инновации+добровольчество0,369'!D116</f>
        <v>ед</v>
      </c>
      <c r="E61" s="770">
        <f>'инновации+добровольчество0,369'!E116</f>
        <v>1</v>
      </c>
    </row>
    <row r="62" spans="1:5" ht="12" customHeight="1" x14ac:dyDescent="0.25">
      <c r="A62" s="530"/>
      <c r="B62" s="529"/>
      <c r="C62" s="768" t="str">
        <f>'инновации+добровольчество0,369'!A117</f>
        <v>Баннер 2*3 "25 летие"</v>
      </c>
      <c r="D62" s="768" t="str">
        <f>'инновации+добровольчество0,369'!D117</f>
        <v>ед</v>
      </c>
      <c r="E62" s="770">
        <f>'инновации+добровольчество0,369'!E117</f>
        <v>1</v>
      </c>
    </row>
    <row r="63" spans="1:5" ht="12" customHeight="1" x14ac:dyDescent="0.25">
      <c r="A63" s="530"/>
      <c r="B63" s="529"/>
      <c r="C63" s="768" t="str">
        <f>'инновации+добровольчество0,369'!A118</f>
        <v>Ролап "Ресурсный центр добровольчества"</v>
      </c>
      <c r="D63" s="768" t="str">
        <f>'инновации+добровольчество0,369'!D118</f>
        <v>ед</v>
      </c>
      <c r="E63" s="770">
        <f>'инновации+добровольчество0,369'!E118</f>
        <v>1</v>
      </c>
    </row>
    <row r="64" spans="1:5" ht="12" customHeight="1" x14ac:dyDescent="0.25">
      <c r="A64" s="530"/>
      <c r="B64" s="529"/>
      <c r="C64" s="768" t="str">
        <f>'инновации+добровольчество0,369'!A119</f>
        <v>Табл. Фасад "Ресурсный центр добровольчества"</v>
      </c>
      <c r="D64" s="768" t="str">
        <f>'инновации+добровольчество0,369'!D119</f>
        <v>ед</v>
      </c>
      <c r="E64" s="770">
        <f>'инновации+добровольчество0,369'!E119</f>
        <v>1</v>
      </c>
    </row>
    <row r="65" spans="1:5" ht="12" customHeight="1" x14ac:dyDescent="0.25">
      <c r="A65" s="530"/>
      <c r="B65" s="529"/>
      <c r="C65" s="768" t="str">
        <f>'инновации+добровольчество0,369'!A120</f>
        <v>Баннер Флэтбол уличный 1*1м</v>
      </c>
      <c r="D65" s="768" t="str">
        <f>'инновации+добровольчество0,369'!D120</f>
        <v>ед</v>
      </c>
      <c r="E65" s="770">
        <f>'инновации+добровольчество0,369'!E120</f>
        <v>6</v>
      </c>
    </row>
    <row r="66" spans="1:5" ht="12" customHeight="1" x14ac:dyDescent="0.25">
      <c r="A66" s="530"/>
      <c r="B66" s="529"/>
      <c r="C66" s="768" t="str">
        <f>'инновации+добровольчество0,369'!A121</f>
        <v>Баннер "Флэтбол" 6*1м</v>
      </c>
      <c r="D66" s="768" t="str">
        <f>'инновации+добровольчество0,369'!D121</f>
        <v>ед</v>
      </c>
      <c r="E66" s="770">
        <f>'инновации+добровольчество0,369'!E121</f>
        <v>2</v>
      </c>
    </row>
    <row r="67" spans="1:5" ht="12" customHeight="1" x14ac:dyDescent="0.25">
      <c r="A67" s="530"/>
      <c r="B67" s="529"/>
      <c r="C67" s="768" t="str">
        <f>'инновации+добровольчество0,369'!A122</f>
        <v>Футболка "Команда добра"</v>
      </c>
      <c r="D67" s="768" t="str">
        <f>'инновации+добровольчество0,369'!D122</f>
        <v>ед</v>
      </c>
      <c r="E67" s="770">
        <f>'инновации+добровольчество0,369'!E122</f>
        <v>5</v>
      </c>
    </row>
    <row r="68" spans="1:5" ht="12" customHeight="1" x14ac:dyDescent="0.25">
      <c r="A68" s="530"/>
      <c r="B68" s="529"/>
      <c r="C68" s="768" t="str">
        <f>'инновации+добровольчество0,369'!A123</f>
        <v>Толстовка "Команда добра"</v>
      </c>
      <c r="D68" s="768" t="str">
        <f>'инновации+добровольчество0,369'!D123</f>
        <v>ед</v>
      </c>
      <c r="E68" s="770">
        <f>'инновации+добровольчество0,369'!E123</f>
        <v>5</v>
      </c>
    </row>
    <row r="69" spans="1:5" ht="12" customHeight="1" x14ac:dyDescent="0.25">
      <c r="A69" s="530"/>
      <c r="B69" s="529"/>
      <c r="C69" s="768" t="str">
        <f>'инновации+добровольчество0,369'!A124</f>
        <v>Плащ-дождевик "Волонтер"</v>
      </c>
      <c r="D69" s="768" t="str">
        <f>'инновации+добровольчество0,369'!D124</f>
        <v>ед</v>
      </c>
      <c r="E69" s="770">
        <f>'инновации+добровольчество0,369'!E124</f>
        <v>5</v>
      </c>
    </row>
    <row r="70" spans="1:5" ht="12" customHeight="1" x14ac:dyDescent="0.25">
      <c r="A70" s="530"/>
      <c r="B70" s="529"/>
      <c r="C70" s="768" t="str">
        <f>'инновации+добровольчество0,369'!A125</f>
        <v>Накидка "Волонтер"</v>
      </c>
      <c r="D70" s="768" t="str">
        <f>'инновации+добровольчество0,369'!D125</f>
        <v>ед</v>
      </c>
      <c r="E70" s="770">
        <f>'инновации+добровольчество0,369'!E125</f>
        <v>5</v>
      </c>
    </row>
    <row r="71" spans="1:5" ht="12" customHeight="1" x14ac:dyDescent="0.25">
      <c r="A71" s="530"/>
      <c r="B71" s="529"/>
      <c r="C71" s="768" t="str">
        <f>'инновации+добровольчество0,369'!A126</f>
        <v xml:space="preserve">подарочные сертификаты Ип коева на мероприятия: Хоккей на валенках; Югикассен; Турнир по мини-футболу; Флэтбол; </v>
      </c>
      <c r="D71" s="768" t="str">
        <f>'инновации+добровольчество0,369'!D126</f>
        <v>ед</v>
      </c>
      <c r="E71" s="770">
        <f>'инновации+добровольчество0,369'!E126</f>
        <v>0</v>
      </c>
    </row>
    <row r="72" spans="1:5" ht="12" customHeight="1" x14ac:dyDescent="0.25">
      <c r="A72" s="530"/>
      <c r="B72" s="529"/>
      <c r="C72" s="768" t="str">
        <f>'инновации+добровольчество0,369'!A127</f>
        <v>сертификат</v>
      </c>
      <c r="D72" s="768" t="str">
        <f>'инновации+добровольчество0,369'!D127</f>
        <v>ед</v>
      </c>
      <c r="E72" s="770">
        <f>'инновации+добровольчество0,369'!E127</f>
        <v>5</v>
      </c>
    </row>
    <row r="73" spans="1:5" ht="12" customHeight="1" x14ac:dyDescent="0.25">
      <c r="A73" s="530"/>
      <c r="B73" s="529"/>
      <c r="C73" s="768" t="str">
        <f>'инновации+добровольчество0,369'!A128</f>
        <v>сертификат</v>
      </c>
      <c r="D73" s="768" t="str">
        <f>'инновации+добровольчество0,369'!D128</f>
        <v>ед</v>
      </c>
      <c r="E73" s="770">
        <f>'инновации+добровольчество0,369'!E128</f>
        <v>2</v>
      </c>
    </row>
    <row r="74" spans="1:5" ht="12" customHeight="1" x14ac:dyDescent="0.25">
      <c r="A74" s="530"/>
      <c r="B74" s="529"/>
      <c r="C74" s="768" t="str">
        <f>'инновации+добровольчество0,369'!A129</f>
        <v>сертификат</v>
      </c>
      <c r="D74" s="768" t="str">
        <f>'инновации+добровольчество0,369'!D129</f>
        <v>ед</v>
      </c>
      <c r="E74" s="770">
        <f>'инновации+добровольчество0,369'!E129</f>
        <v>5</v>
      </c>
    </row>
    <row r="75" spans="1:5" ht="12" customHeight="1" x14ac:dyDescent="0.25">
      <c r="A75" s="530"/>
      <c r="B75" s="529"/>
      <c r="C75" s="768" t="str">
        <f>'инновации+добровольчество0,369'!A130</f>
        <v>сертификат</v>
      </c>
      <c r="D75" s="768" t="str">
        <f>'инновации+добровольчество0,369'!D130</f>
        <v>ед</v>
      </c>
      <c r="E75" s="770">
        <f>'инновации+добровольчество0,369'!E130</f>
        <v>5</v>
      </c>
    </row>
    <row r="76" spans="1:5" ht="12" customHeight="1" x14ac:dyDescent="0.25">
      <c r="A76" s="530"/>
      <c r="B76" s="529"/>
      <c r="C76" s="769" t="s">
        <v>133</v>
      </c>
      <c r="D76" s="769"/>
      <c r="E76" s="769"/>
    </row>
    <row r="77" spans="1:5" ht="12" customHeight="1" x14ac:dyDescent="0.25">
      <c r="A77" s="530"/>
      <c r="B77" s="529"/>
      <c r="C77" s="534" t="s">
        <v>134</v>
      </c>
      <c r="D77" s="535"/>
      <c r="E77" s="536"/>
    </row>
    <row r="78" spans="1:5" ht="21" customHeight="1" x14ac:dyDescent="0.25">
      <c r="A78" s="530"/>
      <c r="B78" s="529"/>
      <c r="C78" s="12" t="str">
        <f>'инновации+добровольчество0,369'!A176</f>
        <v>Теплоэнергия</v>
      </c>
      <c r="D78" s="116" t="str">
        <f>'инновации+добровольчество0,369'!B176</f>
        <v>Гкал</v>
      </c>
      <c r="E78" s="117">
        <f>'инновации+добровольчество0,369'!D176</f>
        <v>20.294999999999998</v>
      </c>
    </row>
    <row r="79" spans="1:5" ht="12" customHeight="1" x14ac:dyDescent="0.25">
      <c r="A79" s="530"/>
      <c r="B79" s="529"/>
      <c r="C79" s="12" t="str">
        <f>'инновации+добровольчество0,369'!A177</f>
        <v xml:space="preserve">Водоснабжение </v>
      </c>
      <c r="D79" s="116" t="str">
        <f>'инновации+добровольчество0,369'!B177</f>
        <v>м2</v>
      </c>
      <c r="E79" s="117">
        <f>'инновации+добровольчество0,369'!D177</f>
        <v>39.224699999999999</v>
      </c>
    </row>
    <row r="80" spans="1:5" ht="12" customHeight="1" x14ac:dyDescent="0.25">
      <c r="A80" s="530"/>
      <c r="B80" s="529"/>
      <c r="C80" s="12" t="str">
        <f>'инновации+добровольчество0,369'!A178</f>
        <v>Водоотведение (септик)</v>
      </c>
      <c r="D80" s="116" t="str">
        <f>'инновации+добровольчество0,369'!B178</f>
        <v>м3</v>
      </c>
      <c r="E80" s="117">
        <f>'инновации+добровольчество0,369'!D178</f>
        <v>0.73799999999999999</v>
      </c>
    </row>
    <row r="81" spans="1:5" ht="12" customHeight="1" x14ac:dyDescent="0.25">
      <c r="A81" s="530"/>
      <c r="B81" s="529"/>
      <c r="C81" s="12" t="str">
        <f>'инновации+добровольчество0,369'!A179</f>
        <v>Электроэнергия</v>
      </c>
      <c r="D81" s="116" t="str">
        <f>'инновации+добровольчество0,369'!B179</f>
        <v>МВт час.</v>
      </c>
      <c r="E81" s="117">
        <f>'инновации+добровольчество0,369'!D179</f>
        <v>2.214</v>
      </c>
    </row>
    <row r="82" spans="1:5" ht="12" customHeight="1" x14ac:dyDescent="0.25">
      <c r="A82" s="530"/>
      <c r="B82" s="529"/>
      <c r="C82" s="12" t="str">
        <f>'инновации+добровольчество0,369'!A180</f>
        <v>ТКО</v>
      </c>
      <c r="D82" s="116" t="str">
        <f>'инновации+добровольчество0,369'!B180</f>
        <v>договор</v>
      </c>
      <c r="E82" s="117">
        <f>'инновации+добровольчество0,369'!D180</f>
        <v>3.3209999999999997</v>
      </c>
    </row>
    <row r="83" spans="1:5" ht="14.45" customHeight="1" x14ac:dyDescent="0.25">
      <c r="A83" s="530"/>
      <c r="B83" s="529"/>
      <c r="C83" s="247" t="str">
        <f>'инновации+добровольчество0,369'!A181</f>
        <v>Электроэнергия (резерв)</v>
      </c>
      <c r="D83" s="247" t="str">
        <f>'инновации+добровольчество0,369'!B181</f>
        <v>МВт час.</v>
      </c>
      <c r="E83" s="116">
        <f>'инновации+добровольчество0,369'!D181</f>
        <v>0.36899999999999999</v>
      </c>
    </row>
    <row r="84" spans="1:5" ht="26.25" customHeight="1" x14ac:dyDescent="0.25">
      <c r="A84" s="530"/>
      <c r="B84" s="529"/>
      <c r="C84" s="537" t="s">
        <v>135</v>
      </c>
      <c r="D84" s="538"/>
      <c r="E84" s="539"/>
    </row>
    <row r="85" spans="1:5" ht="14.45" customHeight="1" x14ac:dyDescent="0.25">
      <c r="A85" s="530"/>
      <c r="B85" s="529"/>
      <c r="C85" s="125" t="str">
        <f>'инновации+добровольчество0,369'!A220</f>
        <v xml:space="preserve">Уборка территории от снега </v>
      </c>
      <c r="D85" s="116" t="s">
        <v>22</v>
      </c>
      <c r="E85" s="237">
        <f>'инновации+добровольчество0,369'!D220</f>
        <v>0.73799999999999999</v>
      </c>
    </row>
    <row r="86" spans="1:5" ht="14.45" customHeight="1" x14ac:dyDescent="0.25">
      <c r="A86" s="530"/>
      <c r="B86" s="529"/>
      <c r="C86" s="125" t="str">
        <f>'инновации+добровольчество0,369'!A221</f>
        <v>Профилактическая дезинфекция</v>
      </c>
      <c r="D86" s="116" t="s">
        <v>22</v>
      </c>
      <c r="E86" s="237">
        <f>'инновации+добровольчество0,369'!D221</f>
        <v>1.476</v>
      </c>
    </row>
    <row r="87" spans="1:5" ht="14.45" customHeight="1" x14ac:dyDescent="0.25">
      <c r="A87" s="530"/>
      <c r="B87" s="529"/>
      <c r="C87" s="125" t="str">
        <f>'инновации+добровольчество0,369'!A222</f>
        <v>Обслуживание системы видеонаблюдения</v>
      </c>
      <c r="D87" s="116" t="s">
        <v>22</v>
      </c>
      <c r="E87" s="237">
        <f>'инновации+добровольчество0,369'!D222</f>
        <v>4.4279999999999999</v>
      </c>
    </row>
    <row r="88" spans="1:5" ht="14.45" customHeight="1" x14ac:dyDescent="0.25">
      <c r="A88" s="530"/>
      <c r="B88" s="529"/>
      <c r="C88" s="125" t="str">
        <f>'инновации+добровольчество0,369'!A223</f>
        <v>Комплексное обслуживание системы тепловодоснабжения и конструктивных элементов здания</v>
      </c>
      <c r="D88" s="116" t="s">
        <v>22</v>
      </c>
      <c r="E88" s="237">
        <f>'инновации+добровольчество0,369'!D223</f>
        <v>0.36899999999999999</v>
      </c>
    </row>
    <row r="89" spans="1:5" ht="14.45" customHeight="1" x14ac:dyDescent="0.25">
      <c r="A89" s="530"/>
      <c r="B89" s="529"/>
      <c r="C89" s="125" t="str">
        <f>'инновации+добровольчество0,369'!A224</f>
        <v>Договор осмотр технического состояния автомобиля</v>
      </c>
      <c r="D89" s="116" t="s">
        <v>22</v>
      </c>
      <c r="E89" s="237">
        <f>'инновации+добровольчество0,369'!D224</f>
        <v>55.35</v>
      </c>
    </row>
    <row r="90" spans="1:5" ht="22.5" customHeight="1" x14ac:dyDescent="0.25">
      <c r="A90" s="530"/>
      <c r="B90" s="529"/>
      <c r="C90" s="125" t="str">
        <f>'инновации+добровольчество0,369'!A225</f>
        <v>Техническое обслуживание систем пожарной сигнализации</v>
      </c>
      <c r="D90" s="116" t="s">
        <v>22</v>
      </c>
      <c r="E90" s="237">
        <f>'инновации+добровольчество0,369'!D225</f>
        <v>4.4279999999999999</v>
      </c>
    </row>
    <row r="91" spans="1:5" ht="19.5" customHeight="1" x14ac:dyDescent="0.25">
      <c r="A91" s="530"/>
      <c r="B91" s="529"/>
      <c r="C91" s="125" t="str">
        <f>'инновации+добровольчество0,369'!A226</f>
        <v>Заправка катриджей</v>
      </c>
      <c r="D91" s="116" t="s">
        <v>22</v>
      </c>
      <c r="E91" s="237">
        <f>'инновации+добровольчество0,369'!D226</f>
        <v>3.69</v>
      </c>
    </row>
    <row r="92" spans="1:5" ht="13.5" customHeight="1" x14ac:dyDescent="0.25">
      <c r="A92" s="530"/>
      <c r="B92" s="529"/>
      <c r="C92" s="125" t="str">
        <f>'инновации+добровольчество0,369'!A227</f>
        <v>ремонт оборудования</v>
      </c>
      <c r="D92" s="116" t="s">
        <v>22</v>
      </c>
      <c r="E92" s="237">
        <f>'инновации+добровольчество0,369'!D227</f>
        <v>0.36899999999999999</v>
      </c>
    </row>
    <row r="93" spans="1:5" ht="17.25" customHeight="1" x14ac:dyDescent="0.25">
      <c r="A93" s="530"/>
      <c r="B93" s="529"/>
      <c r="C93" s="125" t="str">
        <f>'инновации+добровольчество0,369'!A228</f>
        <v>монтаж системы видеонаблюдения</v>
      </c>
      <c r="D93" s="116" t="s">
        <v>22</v>
      </c>
      <c r="E93" s="237">
        <f>'инновации+добровольчество0,369'!D228</f>
        <v>0.36899999999999999</v>
      </c>
    </row>
    <row r="94" spans="1:5" ht="35.25" customHeight="1" x14ac:dyDescent="0.25">
      <c r="A94" s="530"/>
      <c r="B94" s="529"/>
      <c r="C94" s="125" t="str">
        <f>'инновации+добровольчество0,369'!A229</f>
        <v>Медосмотр при устройстве на работу</v>
      </c>
      <c r="D94" s="116" t="s">
        <v>22</v>
      </c>
      <c r="E94" s="237">
        <f>'инновации+добровольчество0,369'!D229</f>
        <v>0.73799999999999999</v>
      </c>
    </row>
    <row r="95" spans="1:5" ht="20.25" customHeight="1" x14ac:dyDescent="0.25">
      <c r="A95" s="530"/>
      <c r="B95" s="529"/>
      <c r="C95" s="125" t="str">
        <f>'инновации+добровольчество0,369'!A230</f>
        <v>Услуги СЕМИС подписка</v>
      </c>
      <c r="D95" s="116" t="s">
        <v>22</v>
      </c>
      <c r="E95" s="237">
        <f>'инновации+добровольчество0,369'!D230</f>
        <v>0.36899999999999999</v>
      </c>
    </row>
    <row r="96" spans="1:5" x14ac:dyDescent="0.25">
      <c r="A96" s="530"/>
      <c r="B96" s="529"/>
      <c r="C96" s="125" t="str">
        <f>'инновации+добровольчество0,369'!A231</f>
        <v>Предрейсовое медицинское обследование 200дней*85руб</v>
      </c>
      <c r="D96" s="116" t="s">
        <v>22</v>
      </c>
      <c r="E96" s="237">
        <f>'инновации+добровольчество0,369'!D231</f>
        <v>55.35</v>
      </c>
    </row>
    <row r="97" spans="1:5" ht="18" customHeight="1" x14ac:dyDescent="0.25">
      <c r="A97" s="530"/>
      <c r="B97" s="529"/>
      <c r="C97" s="125" t="str">
        <f>'инновации+добровольчество0,369'!A232</f>
        <v xml:space="preserve">Услуги охраны  </v>
      </c>
      <c r="D97" s="116" t="s">
        <v>22</v>
      </c>
      <c r="E97" s="237">
        <f>'инновации+добровольчество0,369'!D232</f>
        <v>4.4279999999999999</v>
      </c>
    </row>
    <row r="98" spans="1:5" ht="12" customHeight="1" x14ac:dyDescent="0.25">
      <c r="A98" s="530"/>
      <c r="B98" s="529"/>
      <c r="C98" s="125" t="str">
        <f>'инновации+добровольчество0,369'!A233</f>
        <v>Обслуживание систем охранных средств сигнализации (тревожная кнопка)</v>
      </c>
      <c r="D98" s="116" t="s">
        <v>22</v>
      </c>
      <c r="E98" s="237">
        <f>'инновации+добровольчество0,369'!D233</f>
        <v>4.4279999999999999</v>
      </c>
    </row>
    <row r="99" spans="1:5" ht="21" customHeight="1" x14ac:dyDescent="0.25">
      <c r="A99" s="530"/>
      <c r="B99" s="529"/>
      <c r="C99" s="125" t="str">
        <f>'инновации+добровольчество0,369'!A234</f>
        <v>Страховая премия по полису ОСАГО за УАЗ</v>
      </c>
      <c r="D99" s="116" t="s">
        <v>22</v>
      </c>
      <c r="E99" s="237">
        <f>'инновации+добровольчество0,369'!D234</f>
        <v>0.36899999999999999</v>
      </c>
    </row>
    <row r="100" spans="1:5" ht="21" customHeight="1" x14ac:dyDescent="0.25">
      <c r="A100" s="530"/>
      <c r="B100" s="529"/>
      <c r="C100" s="125" t="str">
        <f>'инновации+добровольчество0,369'!A235</f>
        <v>Диагностика бытовой и оргтехники для определения возможности ее дальнейшего использования (244/226)</v>
      </c>
      <c r="D100" s="116" t="s">
        <v>22</v>
      </c>
      <c r="E100" s="237">
        <f>'инновации+добровольчество0,369'!D235</f>
        <v>0.36899999999999999</v>
      </c>
    </row>
    <row r="101" spans="1:5" ht="21" customHeight="1" x14ac:dyDescent="0.25">
      <c r="A101" s="530"/>
      <c r="B101" s="529"/>
      <c r="C101" s="125" t="str">
        <f>'инновации+добровольчество0,369'!A236</f>
        <v>Изготовление снежных фигур</v>
      </c>
      <c r="D101" s="116" t="s">
        <v>22</v>
      </c>
      <c r="E101" s="237">
        <f>'инновации+добровольчество0,369'!D236</f>
        <v>0.36899999999999999</v>
      </c>
    </row>
    <row r="102" spans="1:5" ht="21" customHeight="1" x14ac:dyDescent="0.25">
      <c r="A102" s="530"/>
      <c r="B102" s="529"/>
      <c r="C102" s="125" t="str">
        <f>'инновации+добровольчество0,369'!A237</f>
        <v>изготовление банера</v>
      </c>
      <c r="D102" s="116" t="s">
        <v>22</v>
      </c>
      <c r="E102" s="237">
        <f>'инновации+добровольчество0,369'!D237</f>
        <v>0.36899999999999999</v>
      </c>
    </row>
    <row r="103" spans="1:5" ht="21" customHeight="1" x14ac:dyDescent="0.25">
      <c r="A103" s="530"/>
      <c r="B103" s="529"/>
      <c r="C103" s="125" t="str">
        <f>'инновации+добровольчество0,369'!A238</f>
        <v>Приобретение программного обеспечения</v>
      </c>
      <c r="D103" s="116" t="s">
        <v>22</v>
      </c>
      <c r="E103" s="237">
        <f>'инновации+добровольчество0,369'!D238</f>
        <v>1.476</v>
      </c>
    </row>
    <row r="104" spans="1:5" ht="21" hidden="1" customHeight="1" x14ac:dyDescent="0.25">
      <c r="A104" s="530"/>
      <c r="B104" s="529"/>
      <c r="C104" s="125">
        <f>'инновации+добровольчество0,369'!A239</f>
        <v>0</v>
      </c>
      <c r="D104" s="116" t="s">
        <v>22</v>
      </c>
      <c r="E104" s="237">
        <f>'инновации+добровольчество0,369'!D240</f>
        <v>0.36899999999999999</v>
      </c>
    </row>
    <row r="105" spans="1:5" ht="21" hidden="1" customHeight="1" x14ac:dyDescent="0.25">
      <c r="A105" s="530"/>
      <c r="B105" s="529"/>
      <c r="C105" s="125">
        <f>'инновации+добровольчество0,369'!A240</f>
        <v>0</v>
      </c>
      <c r="D105" s="116" t="s">
        <v>22</v>
      </c>
      <c r="E105" s="237">
        <f>'инновации+добровольчество0,369'!D241</f>
        <v>0.36899999999999999</v>
      </c>
    </row>
    <row r="106" spans="1:5" ht="21" hidden="1" customHeight="1" x14ac:dyDescent="0.25">
      <c r="A106" s="530"/>
      <c r="B106" s="529"/>
      <c r="C106" s="125">
        <f>'инновации+добровольчество0,369'!A241</f>
        <v>0</v>
      </c>
      <c r="D106" s="116" t="s">
        <v>22</v>
      </c>
      <c r="E106" s="237">
        <f>'инновации+добровольчество0,369'!D242</f>
        <v>0.36899999999999999</v>
      </c>
    </row>
    <row r="107" spans="1:5" ht="21" hidden="1" customHeight="1" x14ac:dyDescent="0.25">
      <c r="A107" s="530"/>
      <c r="B107" s="529"/>
      <c r="C107" s="125">
        <f>'инновации+добровольчество0,369'!A242</f>
        <v>0</v>
      </c>
      <c r="D107" s="116" t="s">
        <v>22</v>
      </c>
      <c r="E107" s="237">
        <f>'инновации+добровольчество0,369'!D243</f>
        <v>1.845</v>
      </c>
    </row>
    <row r="108" spans="1:5" ht="21" hidden="1" customHeight="1" x14ac:dyDescent="0.25">
      <c r="A108" s="530"/>
      <c r="B108" s="529"/>
      <c r="C108" s="125">
        <f>'инновации+добровольчество0,369'!A244</f>
        <v>0</v>
      </c>
      <c r="D108" s="116" t="s">
        <v>22</v>
      </c>
      <c r="E108" s="237">
        <f>'инновации+добровольчество0,369'!$D244</f>
        <v>0</v>
      </c>
    </row>
    <row r="109" spans="1:5" ht="21" hidden="1" customHeight="1" x14ac:dyDescent="0.25">
      <c r="A109" s="530"/>
      <c r="B109" s="529"/>
      <c r="C109" s="125">
        <f>'инновации+добровольчество0,369'!A245</f>
        <v>0</v>
      </c>
      <c r="D109" s="116" t="s">
        <v>22</v>
      </c>
      <c r="E109" s="237">
        <f>'инновации+добровольчество0,369'!$D245</f>
        <v>0</v>
      </c>
    </row>
    <row r="110" spans="1:5" ht="21" hidden="1" customHeight="1" x14ac:dyDescent="0.25">
      <c r="A110" s="530"/>
      <c r="B110" s="529"/>
      <c r="C110" s="125">
        <f>'инновации+добровольчество0,369'!A246</f>
        <v>0</v>
      </c>
      <c r="D110" s="116" t="s">
        <v>22</v>
      </c>
      <c r="E110" s="237">
        <f>'инновации+добровольчество0,369'!$D246</f>
        <v>0</v>
      </c>
    </row>
    <row r="111" spans="1:5" ht="21" hidden="1" customHeight="1" x14ac:dyDescent="0.25">
      <c r="A111" s="530"/>
      <c r="B111" s="529"/>
      <c r="C111" s="125">
        <f>'инновации+добровольчество0,369'!A247</f>
        <v>0</v>
      </c>
      <c r="D111" s="116" t="s">
        <v>22</v>
      </c>
      <c r="E111" s="237">
        <f>'инновации+добровольчество0,369'!$D247</f>
        <v>0</v>
      </c>
    </row>
    <row r="112" spans="1:5" ht="21" hidden="1" customHeight="1" x14ac:dyDescent="0.25">
      <c r="A112" s="530"/>
      <c r="B112" s="529"/>
      <c r="C112" s="125">
        <f>'инновации+добровольчество0,369'!A248</f>
        <v>0</v>
      </c>
      <c r="D112" s="116" t="s">
        <v>22</v>
      </c>
      <c r="E112" s="237">
        <f>'инновации+добровольчество0,369'!$D248</f>
        <v>0</v>
      </c>
    </row>
    <row r="113" spans="1:5" ht="21" hidden="1" customHeight="1" x14ac:dyDescent="0.25">
      <c r="A113" s="530"/>
      <c r="B113" s="529"/>
      <c r="C113" s="125">
        <f>'инновации+добровольчество0,369'!A249</f>
        <v>0</v>
      </c>
      <c r="D113" s="116" t="s">
        <v>22</v>
      </c>
      <c r="E113" s="237">
        <f>'инновации+добровольчество0,369'!$D249</f>
        <v>0</v>
      </c>
    </row>
    <row r="114" spans="1:5" ht="21" hidden="1" customHeight="1" x14ac:dyDescent="0.25">
      <c r="A114" s="530"/>
      <c r="B114" s="529"/>
      <c r="C114" s="125">
        <f>'инновации+добровольчество0,369'!A250</f>
        <v>0</v>
      </c>
      <c r="D114" s="116" t="s">
        <v>22</v>
      </c>
      <c r="E114" s="237">
        <f>'инновации+добровольчество0,369'!$D250</f>
        <v>0</v>
      </c>
    </row>
    <row r="115" spans="1:5" ht="21" hidden="1" customHeight="1" x14ac:dyDescent="0.25">
      <c r="A115" s="530"/>
      <c r="B115" s="529"/>
      <c r="C115" s="125">
        <f>'инновации+добровольчество0,369'!A251</f>
        <v>0</v>
      </c>
      <c r="D115" s="116" t="s">
        <v>22</v>
      </c>
      <c r="E115" s="237">
        <f>'инновации+добровольчество0,369'!$D251</f>
        <v>0</v>
      </c>
    </row>
    <row r="116" spans="1:5" ht="21" hidden="1" customHeight="1" x14ac:dyDescent="0.25">
      <c r="A116" s="530"/>
      <c r="B116" s="529"/>
      <c r="C116" s="125">
        <f>'инновации+добровольчество0,369'!A252</f>
        <v>0</v>
      </c>
      <c r="D116" s="116" t="s">
        <v>22</v>
      </c>
      <c r="E116" s="237">
        <f>'инновации+добровольчество0,369'!$D252</f>
        <v>0</v>
      </c>
    </row>
    <row r="117" spans="1:5" ht="21" hidden="1" customHeight="1" x14ac:dyDescent="0.25">
      <c r="A117" s="530"/>
      <c r="B117" s="529"/>
      <c r="C117" s="125">
        <f>'инновации+добровольчество0,369'!A253</f>
        <v>0</v>
      </c>
      <c r="D117" s="116" t="s">
        <v>22</v>
      </c>
      <c r="E117" s="237">
        <f>'инновации+добровольчество0,369'!$D253</f>
        <v>0</v>
      </c>
    </row>
    <row r="118" spans="1:5" ht="21" hidden="1" customHeight="1" x14ac:dyDescent="0.25">
      <c r="A118" s="530"/>
      <c r="B118" s="529"/>
      <c r="C118" s="125">
        <f>'инновации+добровольчество0,369'!A254</f>
        <v>0</v>
      </c>
      <c r="D118" s="116" t="s">
        <v>22</v>
      </c>
      <c r="E118" s="237">
        <f>'инновации+добровольчество0,369'!$D254</f>
        <v>0</v>
      </c>
    </row>
    <row r="119" spans="1:5" ht="21" customHeight="1" x14ac:dyDescent="0.25">
      <c r="A119" s="530"/>
      <c r="B119" s="529"/>
      <c r="C119" s="540" t="s">
        <v>136</v>
      </c>
      <c r="D119" s="541"/>
      <c r="E119" s="542"/>
    </row>
    <row r="120" spans="1:5" ht="21" hidden="1" customHeight="1" x14ac:dyDescent="0.25">
      <c r="A120" s="530"/>
      <c r="B120" s="529"/>
      <c r="C120" s="118" t="str">
        <f>'инновации+добровольчество0,369'!A198</f>
        <v>переговоры по району, мин</v>
      </c>
      <c r="D120" s="144" t="s">
        <v>84</v>
      </c>
      <c r="E120" s="237">
        <f>'инновации+добровольчество0,369'!D198</f>
        <v>0</v>
      </c>
    </row>
    <row r="121" spans="1:5" ht="21" customHeight="1" x14ac:dyDescent="0.25">
      <c r="A121" s="530"/>
      <c r="B121" s="529"/>
      <c r="C121" s="118" t="str">
        <f>'инновации+добровольчество0,369'!A199</f>
        <v>Переговоры за пределами района,мин</v>
      </c>
      <c r="D121" s="144" t="s">
        <v>22</v>
      </c>
      <c r="E121" s="237">
        <f>'инновации+добровольчество0,369'!D199</f>
        <v>3.6973799999999999</v>
      </c>
    </row>
    <row r="122" spans="1:5" ht="21" customHeight="1" x14ac:dyDescent="0.25">
      <c r="A122" s="530"/>
      <c r="B122" s="529"/>
      <c r="C122" s="118" t="str">
        <f>'инновации+добровольчество0,369'!A200</f>
        <v>Абоненская плата за услуги связи, номеров</v>
      </c>
      <c r="D122" s="144" t="s">
        <v>37</v>
      </c>
      <c r="E122" s="237">
        <f>'инновации+добровольчество0,369'!D200</f>
        <v>0.36899999999999999</v>
      </c>
    </row>
    <row r="123" spans="1:5" ht="21" customHeight="1" x14ac:dyDescent="0.25">
      <c r="A123" s="530"/>
      <c r="B123" s="529"/>
      <c r="C123" s="118" t="str">
        <f>'инновации+добровольчество0,369'!A201</f>
        <v xml:space="preserve">Абоненская плата за услуги Интернет </v>
      </c>
      <c r="D123" s="144" t="s">
        <v>37</v>
      </c>
      <c r="E123" s="237">
        <f>'инновации+добровольчество0,369'!D201</f>
        <v>0.36899999999999999</v>
      </c>
    </row>
    <row r="124" spans="1:5" ht="21" customHeight="1" x14ac:dyDescent="0.25">
      <c r="A124" s="530"/>
      <c r="B124" s="529"/>
      <c r="C124" s="118" t="str">
        <f>'инновации+добровольчество0,369'!A202</f>
        <v>Почтовые конверты</v>
      </c>
      <c r="D124" s="144" t="s">
        <v>38</v>
      </c>
      <c r="E124" s="237">
        <f>'инновации+добровольчество0,369'!D202</f>
        <v>1.845</v>
      </c>
    </row>
    <row r="125" spans="1:5" ht="16.149999999999999" hidden="1" customHeight="1" x14ac:dyDescent="0.25">
      <c r="A125" s="530"/>
      <c r="B125" s="529"/>
      <c r="C125" s="118" t="e">
        <f>'инновации+добровольчество0,369'!#REF!</f>
        <v>#REF!</v>
      </c>
      <c r="D125" s="144" t="s">
        <v>38</v>
      </c>
      <c r="E125" s="237" t="e">
        <f>'инновации+добровольчество0,369'!#REF!</f>
        <v>#REF!</v>
      </c>
    </row>
    <row r="126" spans="1:5" ht="15.6" hidden="1" customHeight="1" x14ac:dyDescent="0.25">
      <c r="A126" s="530"/>
      <c r="B126" s="529"/>
      <c r="C126" s="118" t="e">
        <f>'инновации+добровольчество0,369'!#REF!</f>
        <v>#REF!</v>
      </c>
      <c r="D126" s="144" t="s">
        <v>22</v>
      </c>
      <c r="E126" s="237" t="e">
        <f>'инновации+добровольчество0,369'!#REF!</f>
        <v>#REF!</v>
      </c>
    </row>
    <row r="127" spans="1:5" s="145" customFormat="1" ht="12" customHeight="1" x14ac:dyDescent="0.2">
      <c r="A127" s="530"/>
      <c r="B127" s="529"/>
      <c r="C127" s="543" t="s">
        <v>137</v>
      </c>
      <c r="D127" s="544"/>
      <c r="E127" s="545"/>
    </row>
    <row r="128" spans="1:5" s="145" customFormat="1" ht="12" customHeight="1" x14ac:dyDescent="0.2">
      <c r="A128" s="530"/>
      <c r="B128" s="529"/>
      <c r="C128" s="110" t="s">
        <v>185</v>
      </c>
      <c r="D128" s="146" t="s">
        <v>141</v>
      </c>
      <c r="E128" s="238">
        <f>'инновации+добровольчество0,369'!D147</f>
        <v>0.36899999999999999</v>
      </c>
    </row>
    <row r="129" spans="1:5" s="145" customFormat="1" ht="12" customHeight="1" x14ac:dyDescent="0.2">
      <c r="A129" s="530"/>
      <c r="B129" s="529"/>
      <c r="C129" s="119" t="s">
        <v>139</v>
      </c>
      <c r="D129" s="146" t="s">
        <v>132</v>
      </c>
      <c r="E129" s="238">
        <f>'инновации+добровольчество0,369'!D148</f>
        <v>0.36899999999999999</v>
      </c>
    </row>
    <row r="130" spans="1:5" s="145" customFormat="1" ht="12" customHeight="1" x14ac:dyDescent="0.2">
      <c r="A130" s="530"/>
      <c r="B130" s="529"/>
      <c r="C130" s="119" t="s">
        <v>85</v>
      </c>
      <c r="D130" s="146" t="s">
        <v>132</v>
      </c>
      <c r="E130" s="238">
        <f>'инновации+добровольчество0,369'!D149</f>
        <v>0.1845</v>
      </c>
    </row>
    <row r="131" spans="1:5" s="145" customFormat="1" ht="12" customHeight="1" x14ac:dyDescent="0.2">
      <c r="A131" s="530"/>
      <c r="B131" s="529"/>
      <c r="C131" s="119" t="s">
        <v>140</v>
      </c>
      <c r="D131" s="146" t="s">
        <v>132</v>
      </c>
      <c r="E131" s="238">
        <f>'инновации+добровольчество0,369'!D150</f>
        <v>0.36899999999999999</v>
      </c>
    </row>
    <row r="132" spans="1:5" s="145" customFormat="1" ht="12" customHeight="1" x14ac:dyDescent="0.2">
      <c r="A132" s="530"/>
      <c r="B132" s="529"/>
      <c r="C132" s="523" t="s">
        <v>144</v>
      </c>
      <c r="D132" s="524"/>
      <c r="E132" s="525"/>
    </row>
    <row r="133" spans="1:5" s="145" customFormat="1" ht="12" customHeight="1" x14ac:dyDescent="0.2">
      <c r="A133" s="530"/>
      <c r="B133" s="529"/>
      <c r="C133" s="121" t="str">
        <f>'инновации+добровольчество0,369'!A167</f>
        <v>Пособие по уходу за ребенком до 3-х лет</v>
      </c>
      <c r="D133" s="122" t="s">
        <v>120</v>
      </c>
      <c r="E133" s="234">
        <f>E128</f>
        <v>0.36899999999999999</v>
      </c>
    </row>
    <row r="134" spans="1:5" s="145" customFormat="1" ht="12" hidden="1" customHeight="1" x14ac:dyDescent="0.2">
      <c r="A134" s="530"/>
      <c r="B134" s="529"/>
      <c r="C134" s="543" t="s">
        <v>145</v>
      </c>
      <c r="D134" s="544"/>
      <c r="E134" s="545"/>
    </row>
    <row r="135" spans="1:5" s="145" customFormat="1" ht="12" hidden="1" customHeight="1" x14ac:dyDescent="0.2">
      <c r="A135" s="530"/>
      <c r="B135" s="529"/>
      <c r="C135" s="120" t="s">
        <v>194</v>
      </c>
      <c r="D135" s="101" t="s">
        <v>39</v>
      </c>
      <c r="E135" s="230">
        <f>'инновации+добровольчество0,369'!E189</f>
        <v>0.36899999999999999</v>
      </c>
    </row>
    <row r="136" spans="1:5" ht="28.15" hidden="1" customHeight="1" x14ac:dyDescent="0.25">
      <c r="A136" s="530"/>
      <c r="B136" s="529"/>
      <c r="C136" s="120" t="s">
        <v>195</v>
      </c>
      <c r="D136" s="101" t="s">
        <v>39</v>
      </c>
      <c r="E136" s="230">
        <f>'инновации+добровольчество0,369'!E190</f>
        <v>0.33500000000000002</v>
      </c>
    </row>
    <row r="137" spans="1:5" ht="28.15" hidden="1" customHeight="1" x14ac:dyDescent="0.25">
      <c r="A137" s="530"/>
      <c r="B137" s="529"/>
      <c r="C137" s="120" t="s">
        <v>196</v>
      </c>
      <c r="D137" s="101" t="s">
        <v>39</v>
      </c>
      <c r="E137" s="230">
        <f>'инновации+добровольчество0,369'!E191</f>
        <v>0.33500000000000002</v>
      </c>
    </row>
    <row r="138" spans="1:5" ht="28.15" customHeight="1" x14ac:dyDescent="0.25">
      <c r="A138" s="530"/>
      <c r="B138" s="529"/>
      <c r="C138" s="526" t="s">
        <v>146</v>
      </c>
      <c r="D138" s="527"/>
      <c r="E138" s="528"/>
    </row>
    <row r="139" spans="1:5" ht="28.15" hidden="1" customHeight="1" x14ac:dyDescent="0.25">
      <c r="A139" s="530"/>
      <c r="B139" s="529"/>
      <c r="C139" s="123" t="str">
        <f>'инновации+добровольчество0,369'!A209</f>
        <v>Проезд к месту учебы</v>
      </c>
      <c r="D139" s="124" t="s">
        <v>120</v>
      </c>
      <c r="E139" s="84">
        <f>'инновации+добровольчество0,369'!D209</f>
        <v>0</v>
      </c>
    </row>
    <row r="140" spans="1:5" ht="22.15" customHeight="1" x14ac:dyDescent="0.25">
      <c r="A140" s="530"/>
      <c r="B140" s="529"/>
      <c r="C140" s="123" t="str">
        <f>'инновации+добровольчество0,369'!A210</f>
        <v>Провоз груза 2000 кг (1 кг=9,50 руб)</v>
      </c>
      <c r="D140" s="124" t="s">
        <v>22</v>
      </c>
      <c r="E140" s="84">
        <f>'инновации+добровольчество0,369'!D210</f>
        <v>0.36899999999999999</v>
      </c>
    </row>
    <row r="141" spans="1:5" ht="18" customHeight="1" x14ac:dyDescent="0.25">
      <c r="A141" s="530"/>
      <c r="B141" s="529"/>
      <c r="C141" s="540" t="s">
        <v>147</v>
      </c>
      <c r="D141" s="541"/>
      <c r="E141" s="542"/>
    </row>
    <row r="142" spans="1:5" ht="18.75" customHeight="1" x14ac:dyDescent="0.25">
      <c r="A142" s="530"/>
      <c r="B142" s="529"/>
      <c r="C142" s="111" t="str">
        <f>'инновации+добровольчество0,369'!A261</f>
        <v>Обучение электроустановки</v>
      </c>
      <c r="D142" s="67" t="str">
        <f>'инновации+добровольчество0,369'!B261</f>
        <v>договор</v>
      </c>
      <c r="E142" s="169">
        <f>'инновации+добровольчество0,369'!D261</f>
        <v>0.73799999999999999</v>
      </c>
    </row>
    <row r="143" spans="1:5" ht="13.5" customHeight="1" x14ac:dyDescent="0.25">
      <c r="A143" s="530"/>
      <c r="B143" s="529"/>
      <c r="C143" s="111" t="str">
        <f>'инновации+добровольчество0,369'!A262</f>
        <v>переподготовка</v>
      </c>
      <c r="D143" s="67" t="str">
        <f>'инновации+добровольчество0,369'!B262</f>
        <v>договор</v>
      </c>
      <c r="E143" s="169">
        <f>'инновации+добровольчество0,369'!D262</f>
        <v>1.107</v>
      </c>
    </row>
    <row r="144" spans="1:5" ht="16.5" customHeight="1" x14ac:dyDescent="0.25">
      <c r="A144" s="530"/>
      <c r="B144" s="529"/>
      <c r="C144" s="111" t="str">
        <f>'инновации+добровольчество0,369'!A263</f>
        <v>КОНТРАКТ ООО ОПТИМА ХОЗЫ</v>
      </c>
      <c r="D144" s="67" t="str">
        <f>'инновации+добровольчество0,369'!B263</f>
        <v>шт</v>
      </c>
      <c r="E144" s="169">
        <f>'инновации+добровольчество0,369'!D263</f>
        <v>0.36899999999999999</v>
      </c>
    </row>
    <row r="145" spans="1:5" ht="17.25" customHeight="1" x14ac:dyDescent="0.25">
      <c r="A145" s="530"/>
      <c r="B145" s="529"/>
      <c r="C145" s="111" t="str">
        <f>'инновации+добровольчество0,369'!A264</f>
        <v>Кисть Акор "ЭКСПЕРТ"КФ- 25*8 натур.щетина /10/1050/</v>
      </c>
      <c r="D145" s="67" t="str">
        <f>'инновации+добровольчество0,369'!B264</f>
        <v>шт</v>
      </c>
      <c r="E145" s="169">
        <f>'инновации+добровольчество0,369'!D264</f>
        <v>0.36899999999999999</v>
      </c>
    </row>
    <row r="146" spans="1:5" ht="18.75" customHeight="1" x14ac:dyDescent="0.25">
      <c r="A146" s="530"/>
      <c r="B146" s="529"/>
      <c r="C146" s="111" t="str">
        <f>'инновации+добровольчество0,369'!A265</f>
        <v>Лак БТ-577 (Кузбасслак)   0,9л СГ /6/</v>
      </c>
      <c r="D146" s="67" t="str">
        <f>'инновации+добровольчество0,369'!B265</f>
        <v>шт</v>
      </c>
      <c r="E146" s="169">
        <f>'инновации+добровольчество0,369'!D265</f>
        <v>0.36899999999999999</v>
      </c>
    </row>
    <row r="147" spans="1:5" ht="18.75" customHeight="1" x14ac:dyDescent="0.25">
      <c r="A147" s="530"/>
      <c r="B147" s="529"/>
      <c r="C147" s="111" t="str">
        <f>'инновации+добровольчество0,369'!A266</f>
        <v>Морилка "Красное дерево" 0,50л водная  пэт</v>
      </c>
      <c r="D147" s="67" t="str">
        <f>'инновации+добровольчество0,369'!B266</f>
        <v>шт</v>
      </c>
      <c r="E147" s="169">
        <f>'инновации+добровольчество0,369'!D266</f>
        <v>0.73799999999999999</v>
      </c>
    </row>
    <row r="148" spans="1:5" ht="24" customHeight="1" x14ac:dyDescent="0.25">
      <c r="A148" s="530"/>
      <c r="B148" s="529"/>
      <c r="C148" s="111" t="str">
        <f>'инновации+добровольчество0,369'!A267</f>
        <v>Порожек стык 1,8 м дуб темный 60мм (6) ПС07.1800.091</v>
      </c>
      <c r="D148" s="67" t="str">
        <f>'инновации+добровольчество0,369'!B267</f>
        <v>шт</v>
      </c>
      <c r="E148" s="169">
        <f>'инновации+добровольчество0,369'!D267</f>
        <v>0.73799999999999999</v>
      </c>
    </row>
    <row r="149" spans="1:5" ht="24" customHeight="1" x14ac:dyDescent="0.25">
      <c r="A149" s="530"/>
      <c r="B149" s="529"/>
      <c r="C149" s="111" t="str">
        <f>'инновации+добровольчество0,369'!A268</f>
        <v>Профиль потолочный А-1 3,0м в сборе (Т) (20)</v>
      </c>
      <c r="D149" s="67" t="str">
        <f>'инновации+добровольчество0,369'!B268</f>
        <v>шт</v>
      </c>
      <c r="E149" s="169">
        <f>'инновации+добровольчество0,369'!D268</f>
        <v>0.36899999999999999</v>
      </c>
    </row>
    <row r="150" spans="1:5" ht="18.600000000000001" customHeight="1" x14ac:dyDescent="0.25">
      <c r="A150" s="530"/>
      <c r="B150" s="529"/>
      <c r="C150" s="111" t="str">
        <f>'инновации+добровольчество0,369'!A269</f>
        <v>STAYER MAXI, 105х55мм, стусло пластиковое</v>
      </c>
      <c r="D150" s="67" t="str">
        <f>'инновации+добровольчество0,369'!B269</f>
        <v>шт</v>
      </c>
      <c r="E150" s="169">
        <f>'инновации+добровольчество0,369'!D269</f>
        <v>0.36899999999999999</v>
      </c>
    </row>
    <row r="151" spans="1:5" ht="15.6" customHeight="1" x14ac:dyDescent="0.25">
      <c r="A151" s="530"/>
      <c r="B151" s="529"/>
      <c r="C151" s="111" t="str">
        <f>'инновации+добровольчество0,369'!A270</f>
        <v>Ножовка по металлу ЗУБР МХ-100, метал.рамка, пласт.ручка,натяжение 60кг, 300мм</v>
      </c>
      <c r="D151" s="67" t="str">
        <f>'инновации+добровольчество0,369'!B270</f>
        <v>шт</v>
      </c>
      <c r="E151" s="169">
        <f>'инновации+добровольчество0,369'!D270</f>
        <v>0.36899999999999999</v>
      </c>
    </row>
    <row r="152" spans="1:5" ht="12" customHeight="1" x14ac:dyDescent="0.25">
      <c r="A152" s="530"/>
      <c r="B152" s="529"/>
      <c r="C152" s="111" t="str">
        <f>'инновации+добровольчество0,369'!A271</f>
        <v>Ножовка ЗУБР Молния-5 по дереву, прямой крупный зуб, 500мм</v>
      </c>
      <c r="D152" s="67" t="str">
        <f>'инновации+добровольчество0,369'!B271</f>
        <v>шт</v>
      </c>
      <c r="E152" s="169">
        <f>'инновации+добровольчество0,369'!D271</f>
        <v>0.36899999999999999</v>
      </c>
    </row>
    <row r="153" spans="1:5" ht="12" customHeight="1" x14ac:dyDescent="0.25">
      <c r="A153" s="530"/>
      <c r="B153" s="529"/>
      <c r="C153" s="111" t="str">
        <f>'инновации+добровольчество0,369'!A272</f>
        <v>Рулетка ХК STANDART 10м*25мм, магнит, автостоп, обрезиненный корпус /12/60/</v>
      </c>
      <c r="D153" s="67" t="str">
        <f>'инновации+добровольчество0,369'!B272</f>
        <v>шт</v>
      </c>
      <c r="E153" s="169">
        <f>'инновации+добровольчество0,369'!D272</f>
        <v>0.73799999999999999</v>
      </c>
    </row>
    <row r="154" spans="1:5" ht="12" customHeight="1" x14ac:dyDescent="0.25">
      <c r="A154" s="530"/>
      <c r="B154" s="529"/>
      <c r="C154" s="111" t="str">
        <f>'инновации+добровольчество0,369'!A273</f>
        <v>Хомут нейлоновый 3,6х250мм 100шт белый /10/</v>
      </c>
      <c r="D154" s="67" t="str">
        <f>'инновации+добровольчество0,369'!B273</f>
        <v>шт</v>
      </c>
      <c r="E154" s="169">
        <f>'инновации+добровольчество0,369'!D273</f>
        <v>0.36899999999999999</v>
      </c>
    </row>
    <row r="155" spans="1:5" ht="12" customHeight="1" x14ac:dyDescent="0.25">
      <c r="A155" s="530"/>
      <c r="B155" s="529"/>
      <c r="C155" s="111" t="str">
        <f>'инновации+добровольчество0,369'!A274</f>
        <v>Хомут нейлоновый 3,6х350мм 100шт белый</v>
      </c>
      <c r="D155" s="67" t="str">
        <f>'инновации+добровольчество0,369'!B274</f>
        <v>шт</v>
      </c>
      <c r="E155" s="169">
        <f>'инновации+добровольчество0,369'!D274</f>
        <v>0.36899999999999999</v>
      </c>
    </row>
    <row r="156" spans="1:5" ht="12" customHeight="1" x14ac:dyDescent="0.25">
      <c r="A156" s="530"/>
      <c r="B156" s="529"/>
      <c r="C156" s="111" t="str">
        <f>'инновации+добровольчество0,369'!A275</f>
        <v>Нож ЕРМАК 18 мм, складной, двухкомпонентная рукоятка, сменное лезвие 649-015/1/</v>
      </c>
      <c r="D156" s="67" t="str">
        <f>'инновации+добровольчество0,369'!B275</f>
        <v>шт</v>
      </c>
      <c r="E156" s="169">
        <f>'инновации+добровольчество0,369'!D275</f>
        <v>0.36899999999999999</v>
      </c>
    </row>
    <row r="157" spans="1:5" ht="12" customHeight="1" x14ac:dyDescent="0.25">
      <c r="A157" s="530"/>
      <c r="B157" s="529"/>
      <c r="C157" s="111" t="str">
        <f>'инновации+добровольчество0,369'!A276</f>
        <v>Сверло ЗУБР "МАСТЕР" по бетону ударное, 10x300мм</v>
      </c>
      <c r="D157" s="67" t="str">
        <f>'инновации+добровольчество0,369'!B276</f>
        <v>шт</v>
      </c>
      <c r="E157" s="169">
        <f>'инновации+добровольчество0,369'!D276</f>
        <v>0.36899999999999999</v>
      </c>
    </row>
    <row r="158" spans="1:5" ht="12" customHeight="1" x14ac:dyDescent="0.25">
      <c r="A158" s="530"/>
      <c r="B158" s="529"/>
      <c r="C158" s="111" t="str">
        <f>'инновации+добровольчество0,369'!A277</f>
        <v>Сверло ЗУБР "СУПЕР-6" по бетону ударное, шестигранный хвостовик, 8x300мм</v>
      </c>
      <c r="D158" s="67" t="str">
        <f>'инновации+добровольчество0,369'!B277</f>
        <v>шт</v>
      </c>
      <c r="E158" s="169">
        <f>'инновации+добровольчество0,369'!D277</f>
        <v>0.36899999999999999</v>
      </c>
    </row>
    <row r="159" spans="1:5" ht="12" customHeight="1" x14ac:dyDescent="0.25">
      <c r="A159" s="530"/>
      <c r="B159" s="529"/>
      <c r="C159" s="111" t="str">
        <f>'инновации+добровольчество0,369'!A278</f>
        <v>ЗУБР МАСТЕР 6 х 150  мм сверло по бетону</v>
      </c>
      <c r="D159" s="67" t="str">
        <f>'инновации+добровольчество0,369'!B278</f>
        <v>шт</v>
      </c>
      <c r="E159" s="169">
        <f>'инновации+добровольчество0,369'!D278</f>
        <v>0.36899999999999999</v>
      </c>
    </row>
    <row r="160" spans="1:5" ht="12" customHeight="1" x14ac:dyDescent="0.25">
      <c r="A160" s="530"/>
      <c r="B160" s="529"/>
      <c r="C160" s="111" t="str">
        <f>'инновации+добровольчество0,369'!A279</f>
        <v>ЗУБР МАСТЕР 4 х 75  мм сверло по бетону</v>
      </c>
      <c r="D160" s="67" t="str">
        <f>'инновации+добровольчество0,369'!B279</f>
        <v>шт</v>
      </c>
      <c r="E160" s="169">
        <f>'инновации+добровольчество0,369'!D279</f>
        <v>0.36899999999999999</v>
      </c>
    </row>
    <row r="161" spans="1:5" ht="12" customHeight="1" x14ac:dyDescent="0.25">
      <c r="A161" s="530"/>
      <c r="B161" s="529"/>
      <c r="C161" s="111" t="str">
        <f>'инновации+добровольчество0,369'!A280</f>
        <v>ЗУБР МАСТЕР 5 x 85  мм сверло по бетону</v>
      </c>
      <c r="D161" s="67" t="str">
        <f>'инновации+добровольчество0,369'!B280</f>
        <v>шт</v>
      </c>
      <c r="E161" s="169">
        <f>'инновации+добровольчество0,369'!D280</f>
        <v>0.36899999999999999</v>
      </c>
    </row>
    <row r="162" spans="1:5" ht="12" customHeight="1" x14ac:dyDescent="0.25">
      <c r="A162" s="530"/>
      <c r="B162" s="529"/>
      <c r="C162" s="111" t="str">
        <f>'инновации+добровольчество0,369'!A281</f>
        <v>Плинтус напольный с кабель-каналом Line Plast L048 Ироко 58мм*2,5м (40) L048 Ироко</v>
      </c>
      <c r="D162" s="67" t="str">
        <f>'инновации+добровольчество0,369'!B281</f>
        <v>шт</v>
      </c>
      <c r="E162" s="169">
        <f>'инновации+добровольчество0,369'!D281</f>
        <v>6.6419999999999995</v>
      </c>
    </row>
    <row r="163" spans="1:5" ht="12" hidden="1" customHeight="1" x14ac:dyDescent="0.25">
      <c r="A163" s="530"/>
      <c r="B163" s="529"/>
      <c r="C163" s="111" t="str">
        <f>'инновации+добровольчество0,369'!A282</f>
        <v>Угол наружный Line Plast L048 Ироко 58мм</v>
      </c>
      <c r="D163" s="67" t="str">
        <f>'инновации+добровольчество0,369'!B282</f>
        <v>шт</v>
      </c>
      <c r="E163" s="169">
        <f>'инновации+добровольчество0,369'!D282</f>
        <v>4.4279999999999999</v>
      </c>
    </row>
    <row r="164" spans="1:5" ht="12" hidden="1" customHeight="1" x14ac:dyDescent="0.25">
      <c r="A164" s="530"/>
      <c r="B164" s="529"/>
      <c r="C164" s="111" t="str">
        <f>'инновации+добровольчество0,369'!A283</f>
        <v>Угол внутренний Line Plast L048 Ироко 58мм</v>
      </c>
      <c r="D164" s="67" t="str">
        <f>'инновации+добровольчество0,369'!B283</f>
        <v>шт</v>
      </c>
      <c r="E164" s="169">
        <f>'инновации+добровольчество0,369'!D283</f>
        <v>4.4279999999999999</v>
      </c>
    </row>
    <row r="165" spans="1:5" ht="12" customHeight="1" x14ac:dyDescent="0.25">
      <c r="A165" s="530"/>
      <c r="B165" s="529"/>
      <c r="C165" s="111" t="str">
        <f>'инновации+добровольчество0,369'!A284</f>
        <v>Соединитель Line Plast L048 Ироко 58мм (50)</v>
      </c>
      <c r="D165" s="67" t="str">
        <f>'инновации+добровольчество0,369'!B284</f>
        <v>шт</v>
      </c>
      <c r="E165" s="169">
        <f>'инновации+добровольчество0,369'!D284</f>
        <v>7.38</v>
      </c>
    </row>
    <row r="166" spans="1:5" ht="12" customHeight="1" x14ac:dyDescent="0.25">
      <c r="A166" s="530"/>
      <c r="B166" s="529"/>
      <c r="C166" s="111" t="str">
        <f>'инновации+добровольчество0,369'!A285</f>
        <v>Торцевик Line Plast L048 Ироко левый 58мм (50)</v>
      </c>
      <c r="D166" s="67" t="str">
        <f>'инновации+добровольчество0,369'!B285</f>
        <v>шт</v>
      </c>
      <c r="E166" s="169">
        <f>'инновации+добровольчество0,369'!D285</f>
        <v>2.214</v>
      </c>
    </row>
    <row r="167" spans="1:5" ht="12" customHeight="1" x14ac:dyDescent="0.25">
      <c r="A167" s="530"/>
      <c r="B167" s="529"/>
      <c r="C167" s="111" t="str">
        <f>'инновации+добровольчество0,369'!A286</f>
        <v>Торцевик Line Plast L048 Ироко правый 58мм (50)</v>
      </c>
      <c r="D167" s="67" t="str">
        <f>'инновации+добровольчество0,369'!B286</f>
        <v>шт</v>
      </c>
      <c r="E167" s="169">
        <f>'инновации+добровольчество0,369'!D286</f>
        <v>2.214</v>
      </c>
    </row>
    <row r="168" spans="1:5" ht="12" customHeight="1" x14ac:dyDescent="0.25">
      <c r="A168" s="530"/>
      <c r="B168" s="529"/>
      <c r="C168" s="111" t="str">
        <f>'инновации+добровольчество0,369'!A287</f>
        <v>Карниз для штор гибкий ArtFlex белый 5,0м (11 хомутов, 50 крючков)</v>
      </c>
      <c r="D168" s="67" t="str">
        <f>'инновации+добровольчество0,369'!B287</f>
        <v>шт</v>
      </c>
      <c r="E168" s="169">
        <f>'инновации+добровольчество0,369'!D287</f>
        <v>0.36899999999999999</v>
      </c>
    </row>
    <row r="169" spans="1:5" ht="12" customHeight="1" x14ac:dyDescent="0.25">
      <c r="A169" s="530"/>
      <c r="B169" s="529"/>
      <c r="C169" s="111" t="str">
        <f>'инновации+добровольчество0,369'!A288</f>
        <v>Выключатель Lezard Mira 1СП белый 701-0202-100 /10/120/</v>
      </c>
      <c r="D169" s="67" t="str">
        <f>'инновации+добровольчество0,369'!B288</f>
        <v>шт</v>
      </c>
      <c r="E169" s="169">
        <f>'инновации+добровольчество0,369'!D288</f>
        <v>0.73799999999999999</v>
      </c>
    </row>
    <row r="170" spans="1:5" ht="12" customHeight="1" x14ac:dyDescent="0.25">
      <c r="A170" s="530"/>
      <c r="B170" s="529"/>
      <c r="C170" s="111" t="str">
        <f>'инновации+добровольчество0,369'!A289</f>
        <v xml:space="preserve">Клей Henkel Момент Столяр ПВА универсальный, 250гр </v>
      </c>
      <c r="D170" s="67" t="str">
        <f>'инновации+добровольчество0,369'!B289</f>
        <v>шт</v>
      </c>
      <c r="E170" s="169">
        <f>'инновации+добровольчество0,369'!D289</f>
        <v>0.36899999999999999</v>
      </c>
    </row>
    <row r="171" spans="1:5" ht="12" customHeight="1" x14ac:dyDescent="0.25">
      <c r="A171" s="530"/>
      <c r="B171" s="529"/>
      <c r="C171" s="111" t="str">
        <f>'инновации+добровольчество0,369'!A290</f>
        <v>Порожек стык 1,8 мербау 37мм ПС03.1800.093</v>
      </c>
      <c r="D171" s="67" t="str">
        <f>'инновации+добровольчество0,369'!B290</f>
        <v>шт</v>
      </c>
      <c r="E171" s="169">
        <f>'инновации+добровольчество0,369'!D290</f>
        <v>0.73799999999999999</v>
      </c>
    </row>
    <row r="172" spans="1:5" ht="12" customHeight="1" x14ac:dyDescent="0.25">
      <c r="A172" s="530"/>
      <c r="B172" s="529"/>
      <c r="C172" s="111" t="str">
        <f>'инновации+добровольчество0,369'!A291</f>
        <v>Брусок 50*50мм (3м)</v>
      </c>
      <c r="D172" s="67" t="str">
        <f>'инновации+добровольчество0,369'!B291</f>
        <v>шт</v>
      </c>
      <c r="E172" s="169">
        <f>'инновации+добровольчество0,369'!D291</f>
        <v>7.38</v>
      </c>
    </row>
    <row r="173" spans="1:5" ht="12" customHeight="1" x14ac:dyDescent="0.25">
      <c r="A173" s="530"/>
      <c r="B173" s="529"/>
      <c r="C173" s="111" t="str">
        <f>'инновации+добровольчество0,369'!A292</f>
        <v>Фанера березовая 6мм 1525*1525мм ФК сорт 4/4 нш</v>
      </c>
      <c r="D173" s="67" t="str">
        <f>'инновации+добровольчество0,369'!B292</f>
        <v>шт</v>
      </c>
      <c r="E173" s="169">
        <f>'инновации+добровольчество0,369'!D292</f>
        <v>2.214</v>
      </c>
    </row>
    <row r="174" spans="1:5" ht="12" customHeight="1" x14ac:dyDescent="0.25">
      <c r="A174" s="530"/>
      <c r="B174" s="529"/>
      <c r="C174" s="111" t="str">
        <f>'инновации+добровольчество0,369'!A293</f>
        <v>Фанера березовая 8мм 1525*1525мм ФК сорт 4/4 нш</v>
      </c>
      <c r="D174" s="67" t="str">
        <f>'инновации+добровольчество0,369'!B293</f>
        <v>шт</v>
      </c>
      <c r="E174" s="169">
        <f>'инновации+добровольчество0,369'!D293</f>
        <v>0.73799999999999999</v>
      </c>
    </row>
    <row r="175" spans="1:5" ht="12" customHeight="1" x14ac:dyDescent="0.25">
      <c r="A175" s="530"/>
      <c r="B175" s="529"/>
      <c r="C175" s="111" t="str">
        <f>'инновации+добровольчество0,369'!A294</f>
        <v>Эмаль акр.для радиаторов отопления 1кг полуглянцевая (6) OLECOLOR</v>
      </c>
      <c r="D175" s="67" t="str">
        <f>'инновации+добровольчество0,369'!B294</f>
        <v>шт</v>
      </c>
      <c r="E175" s="169">
        <f>'инновации+добровольчество0,369'!D294</f>
        <v>0.73799999999999999</v>
      </c>
    </row>
    <row r="176" spans="1:5" ht="12" customHeight="1" x14ac:dyDescent="0.25">
      <c r="A176" s="530"/>
      <c r="B176" s="529"/>
      <c r="C176" s="111" t="str">
        <f>'инновации+добровольчество0,369'!A295</f>
        <v>Лопата снеговая деревянная, 50*50см, с усиленной планкой, "Баба Яга"/1/</v>
      </c>
      <c r="D176" s="67" t="str">
        <f>'инновации+добровольчество0,369'!B295</f>
        <v>шт</v>
      </c>
      <c r="E176" s="169">
        <f>'инновации+добровольчество0,369'!D295</f>
        <v>0.36899999999999999</v>
      </c>
    </row>
    <row r="177" spans="1:5" ht="12" customHeight="1" x14ac:dyDescent="0.25">
      <c r="A177" s="530"/>
      <c r="B177" s="529"/>
      <c r="C177" s="111" t="str">
        <f>'инновации+добровольчество0,369'!A296</f>
        <v>Лопата пласт 380*380мм, с алюминевой планкой, с алюмин.черенком и Д-образной ручкой (5) ЛА-06</v>
      </c>
      <c r="D177" s="67" t="str">
        <f>'инновации+добровольчество0,369'!B296</f>
        <v>шт</v>
      </c>
      <c r="E177" s="169">
        <f>'инновации+добровольчество0,369'!D296</f>
        <v>0.36899999999999999</v>
      </c>
    </row>
    <row r="178" spans="1:5" ht="15" customHeight="1" x14ac:dyDescent="0.25">
      <c r="A178" s="530"/>
      <c r="B178" s="529"/>
      <c r="C178" s="111" t="str">
        <f>'инновации+добровольчество0,369'!A297</f>
        <v>Коробка распаячная КМР-030-031 с крышкой 8*80*50мм IP 54 EKF, серая /100/</v>
      </c>
      <c r="D178" s="67" t="str">
        <f>'инновации+добровольчество0,369'!B297</f>
        <v>шт</v>
      </c>
      <c r="E178" s="169">
        <f>'инновации+добровольчество0,369'!D297</f>
        <v>0.73799999999999999</v>
      </c>
    </row>
    <row r="179" spans="1:5" x14ac:dyDescent="0.25">
      <c r="A179" s="530"/>
      <c r="B179" s="529"/>
      <c r="C179" s="111" t="str">
        <f>'инновации+добровольчество0,369'!A298</f>
        <v>Розетка "Пралеска"   2РА16-303 брызгозащищенная з/к /30/</v>
      </c>
      <c r="D179" s="67" t="str">
        <f>'инновации+добровольчество0,369'!B298</f>
        <v>шт</v>
      </c>
      <c r="E179" s="169">
        <f>'инновации+добровольчество0,369'!D298</f>
        <v>0.36899999999999999</v>
      </c>
    </row>
    <row r="180" spans="1:5" x14ac:dyDescent="0.25">
      <c r="A180" s="530"/>
      <c r="B180" s="529"/>
      <c r="C180" s="111" t="str">
        <f>'инновации+добровольчество0,369'!A299</f>
        <v>Провод ВВГ 3*2,5</v>
      </c>
      <c r="D180" s="67" t="str">
        <f>'инновации+добровольчество0,369'!B299</f>
        <v>шт</v>
      </c>
      <c r="E180" s="169">
        <f>'инновации+добровольчество0,369'!D299</f>
        <v>3.69</v>
      </c>
    </row>
    <row r="181" spans="1:5" x14ac:dyDescent="0.25">
      <c r="A181" s="530"/>
      <c r="B181" s="529"/>
      <c r="C181" s="111" t="str">
        <f>'инновации+добровольчество0,369'!A300</f>
        <v>Щиток защитный TUNDRA корпус пластик 4588909</v>
      </c>
      <c r="D181" s="67" t="str">
        <f>'инновации+добровольчество0,369'!B300</f>
        <v>шт</v>
      </c>
      <c r="E181" s="169">
        <f>'инновации+добровольчество0,369'!D300</f>
        <v>0.73799999999999999</v>
      </c>
    </row>
    <row r="182" spans="1:5" x14ac:dyDescent="0.25">
      <c r="A182" s="530"/>
      <c r="B182" s="529"/>
      <c r="C182" s="111" t="str">
        <f>'инновации+добровольчество0,369'!A301</f>
        <v>Щиток защитный СИБИН с экраном из поликарбоната</v>
      </c>
      <c r="D182" s="67" t="str">
        <f>'инновации+добровольчество0,369'!B301</f>
        <v>шт</v>
      </c>
      <c r="E182" s="169">
        <f>'инновации+добровольчество0,369'!D301</f>
        <v>0.36899999999999999</v>
      </c>
    </row>
    <row r="183" spans="1:5" x14ac:dyDescent="0.25">
      <c r="A183" s="530"/>
      <c r="B183" s="529"/>
      <c r="C183" s="111" t="str">
        <f>'инновации+добровольчество0,369'!A302</f>
        <v>Замок навесной  Чебоксары ВС-2 М1-02 /20/</v>
      </c>
      <c r="D183" s="67" t="str">
        <f>'инновации+добровольчество0,369'!B302</f>
        <v>шт</v>
      </c>
      <c r="E183" s="169">
        <f>'инновации+добровольчество0,369'!D302</f>
        <v>0.36899999999999999</v>
      </c>
    </row>
    <row r="184" spans="1:5" ht="22.5" x14ac:dyDescent="0.25">
      <c r="A184" s="530"/>
      <c r="B184" s="529"/>
      <c r="C184" s="111" t="str">
        <f>'инновации+добровольчество0,369'!A303</f>
        <v>Фанера 10 мм (1525х1525) водостойкая , сорт 4/4 , н/ш (2,325 м2)</v>
      </c>
      <c r="D184" s="67" t="str">
        <f>'инновации+добровольчество0,369'!B303</f>
        <v>шт</v>
      </c>
      <c r="E184" s="169">
        <f>'инновации+добровольчество0,369'!D303</f>
        <v>0.73799999999999999</v>
      </c>
    </row>
    <row r="185" spans="1:5" x14ac:dyDescent="0.25">
      <c r="A185" s="530"/>
      <c r="B185" s="529"/>
      <c r="C185" s="111" t="str">
        <f>'инновации+добровольчество0,369'!A304</f>
        <v>Гайка шестигранная цинк DIN 934 М10 (300шт.)</v>
      </c>
      <c r="D185" s="67" t="str">
        <f>'инновации+добровольчество0,369'!B304</f>
        <v>шт</v>
      </c>
      <c r="E185" s="169">
        <f>'инновации+добровольчество0,369'!D304</f>
        <v>2.952</v>
      </c>
    </row>
    <row r="186" spans="1:5" x14ac:dyDescent="0.25">
      <c r="A186" s="530"/>
      <c r="B186" s="529"/>
      <c r="C186" s="111" t="str">
        <f>'инновации+добровольчество0,369'!A305</f>
        <v>Шайба плоская узкая цинк DIN 125 М12 (500шт.)</v>
      </c>
      <c r="D186" s="67" t="str">
        <f>'инновации+добровольчество0,369'!B305</f>
        <v>шт</v>
      </c>
      <c r="E186" s="169">
        <f>'инновации+добровольчество0,369'!D305</f>
        <v>2.952</v>
      </c>
    </row>
    <row r="187" spans="1:5" x14ac:dyDescent="0.25">
      <c r="A187" s="530"/>
      <c r="B187" s="529"/>
      <c r="C187" s="111" t="str">
        <f>'инновации+добровольчество0,369'!A306</f>
        <v>Шайба пружинная гроверная цинк DIN 127 М12 (500шт.)</v>
      </c>
      <c r="D187" s="67" t="str">
        <f>'инновации+добровольчество0,369'!B306</f>
        <v>шт</v>
      </c>
      <c r="E187" s="169">
        <f>'инновации+добровольчество0,369'!D306</f>
        <v>2.952</v>
      </c>
    </row>
    <row r="188" spans="1:5" ht="22.5" x14ac:dyDescent="0.25">
      <c r="A188" s="530"/>
      <c r="B188" s="529"/>
      <c r="C188" s="111" t="str">
        <f>'инновации+добровольчество0,369'!A307</f>
        <v>Дюбель усиленный 5х40 + саморез головка потай желтый цинк 3,5х45 (20шт)</v>
      </c>
      <c r="D188" s="67" t="str">
        <f>'инновации+добровольчество0,369'!B307</f>
        <v>шт</v>
      </c>
      <c r="E188" s="169">
        <f>'инновации+добровольчество0,369'!D307</f>
        <v>0.36899999999999999</v>
      </c>
    </row>
    <row r="189" spans="1:5" ht="22.5" x14ac:dyDescent="0.25">
      <c r="A189" s="530"/>
      <c r="B189" s="529"/>
      <c r="C189" s="111" t="str">
        <f>'инновации+добровольчество0,369'!A308</f>
        <v>Дюбель усиленный 6х25 + саморез головка потай желтый цинк 4,0х30 (20шт)</v>
      </c>
      <c r="D189" s="67" t="str">
        <f>'инновации+добровольчество0,369'!B308</f>
        <v>шт</v>
      </c>
      <c r="E189" s="169">
        <f>'инновации+добровольчество0,369'!D308</f>
        <v>0.36899999999999999</v>
      </c>
    </row>
    <row r="190" spans="1:5" ht="22.5" x14ac:dyDescent="0.25">
      <c r="A190" s="530"/>
      <c r="B190" s="529"/>
      <c r="C190" s="111" t="str">
        <f>'инновации+добровольчество0,369'!A309</f>
        <v>Дюбель усиленный 5х30 + саморез головка потай желтый цинк 3,0х35 (24шт)</v>
      </c>
      <c r="D190" s="67" t="str">
        <f>'инновации+добровольчество0,369'!B309</f>
        <v>шт</v>
      </c>
      <c r="E190" s="169">
        <f>'инновации+добровольчество0,369'!D309</f>
        <v>0.36899999999999999</v>
      </c>
    </row>
    <row r="191" spans="1:5" x14ac:dyDescent="0.25">
      <c r="A191" s="530"/>
      <c r="B191" s="529"/>
      <c r="C191" s="111" t="str">
        <f>'инновации+добровольчество0,369'!A310</f>
        <v>Кабель-канал ПВХ 12*12 (100) SQ0408-0501</v>
      </c>
      <c r="D191" s="67" t="str">
        <f>'инновации+добровольчество0,369'!B310</f>
        <v>шт</v>
      </c>
      <c r="E191" s="169">
        <f>'инновации+добровольчество0,369'!D310</f>
        <v>0.36899999999999999</v>
      </c>
    </row>
    <row r="192" spans="1:5" x14ac:dyDescent="0.25">
      <c r="A192" s="530"/>
      <c r="B192" s="529"/>
      <c r="C192" s="111" t="str">
        <f>'инновации+добровольчество0,369'!A311</f>
        <v>Кабель-канал ПВХ 20*10 (80) SQ0408-0503</v>
      </c>
      <c r="D192" s="67" t="str">
        <f>'инновации+добровольчество0,369'!B311</f>
        <v>шт</v>
      </c>
      <c r="E192" s="169">
        <f>'инновации+добровольчество0,369'!D311</f>
        <v>0.36899999999999999</v>
      </c>
    </row>
    <row r="193" spans="1:5" x14ac:dyDescent="0.25">
      <c r="A193" s="530"/>
      <c r="B193" s="529"/>
      <c r="C193" s="111" t="str">
        <f>'инновации+добровольчество0,369'!A312</f>
        <v>Хомут  червячный "MGF" 16-27мм /50/</v>
      </c>
      <c r="D193" s="67" t="str">
        <f>'инновации+добровольчество0,369'!B312</f>
        <v>шт</v>
      </c>
      <c r="E193" s="169">
        <f>'инновации+добровольчество0,369'!D312</f>
        <v>0.73799999999999999</v>
      </c>
    </row>
    <row r="194" spans="1:5" x14ac:dyDescent="0.25">
      <c r="A194" s="530"/>
      <c r="B194" s="529"/>
      <c r="C194" s="111" t="str">
        <f>'инновации+добровольчество0,369'!A313</f>
        <v>Переходник (штуцер) LEXLINE на р/шл 1/2 нар-20, латунь /10/</v>
      </c>
      <c r="D194" s="67" t="str">
        <f>'инновации+добровольчество0,369'!B313</f>
        <v>шт</v>
      </c>
      <c r="E194" s="169">
        <f>'инновации+добровольчество0,369'!D313</f>
        <v>0.36899999999999999</v>
      </c>
    </row>
    <row r="195" spans="1:5" x14ac:dyDescent="0.25">
      <c r="A195" s="530"/>
      <c r="B195" s="529"/>
      <c r="C195" s="111" t="str">
        <f>'инновации+добровольчество0,369'!A314</f>
        <v>Флянец хвостовика</v>
      </c>
      <c r="D195" s="67" t="str">
        <f>'инновации+добровольчество0,369'!B314</f>
        <v>шт</v>
      </c>
      <c r="E195" s="169">
        <f>'инновации+добровольчество0,369'!D314</f>
        <v>0.73799999999999999</v>
      </c>
    </row>
    <row r="196" spans="1:5" x14ac:dyDescent="0.25">
      <c r="A196" s="530"/>
      <c r="B196" s="529"/>
      <c r="C196" s="111" t="str">
        <f>'инновации+добровольчество0,369'!A315</f>
        <v>Датчик коленвала</v>
      </c>
      <c r="D196" s="67" t="str">
        <f>'инновации+добровольчество0,369'!B315</f>
        <v>шт</v>
      </c>
      <c r="E196" s="169">
        <f>'инновации+добровольчество0,369'!D315</f>
        <v>0.36899999999999999</v>
      </c>
    </row>
    <row r="197" spans="1:5" x14ac:dyDescent="0.25">
      <c r="A197" s="530"/>
      <c r="B197" s="529"/>
      <c r="C197" s="111" t="str">
        <f>'инновации+добровольчество0,369'!A316</f>
        <v>пусковые провода</v>
      </c>
      <c r="D197" s="67" t="str">
        <f>'инновации+добровольчество0,369'!B316</f>
        <v>шт</v>
      </c>
      <c r="E197" s="169">
        <f>'инновации+добровольчество0,369'!D316</f>
        <v>0.36899999999999999</v>
      </c>
    </row>
    <row r="198" spans="1:5" x14ac:dyDescent="0.25">
      <c r="A198" s="530"/>
      <c r="B198" s="529"/>
      <c r="C198" s="111" t="str">
        <f>'инновации+добровольчество0,369'!A317</f>
        <v>маска медицинская</v>
      </c>
      <c r="D198" s="67" t="str">
        <f>'инновации+добровольчество0,369'!B317</f>
        <v>шт</v>
      </c>
      <c r="E198" s="169">
        <f>'инновации+добровольчество0,369'!D317</f>
        <v>2214</v>
      </c>
    </row>
    <row r="199" spans="1:5" x14ac:dyDescent="0.25">
      <c r="A199" s="530"/>
      <c r="B199" s="529"/>
      <c r="C199" s="111" t="str">
        <f>'инновации+добровольчество0,369'!A318</f>
        <v>Бумага10*15 глянец 180 гр</v>
      </c>
      <c r="D199" s="67" t="str">
        <f>'инновации+добровольчество0,369'!B318</f>
        <v>шт</v>
      </c>
      <c r="E199" s="169">
        <f>'инновации+добровольчество0,369'!D318</f>
        <v>1.476</v>
      </c>
    </row>
    <row r="200" spans="1:5" x14ac:dyDescent="0.25">
      <c r="A200" s="530"/>
      <c r="B200" s="529"/>
      <c r="C200" s="111" t="str">
        <f>'инновации+добровольчество0,369'!A319</f>
        <v>Бумага А4</v>
      </c>
      <c r="D200" s="67" t="str">
        <f>'инновации+добровольчество0,369'!B319</f>
        <v>шт</v>
      </c>
      <c r="E200" s="169">
        <f>'инновации+добровольчество0,369'!D319</f>
        <v>23.984999999999999</v>
      </c>
    </row>
    <row r="201" spans="1:5" x14ac:dyDescent="0.25">
      <c r="A201" s="530"/>
      <c r="B201" s="529"/>
      <c r="C201" s="111" t="str">
        <f>'инновации+добровольчество0,369'!A320</f>
        <v>планшет</v>
      </c>
      <c r="D201" s="67" t="str">
        <f>'инновации+добровольчество0,369'!B320</f>
        <v>шт</v>
      </c>
      <c r="E201" s="169">
        <f>'инновации+добровольчество0,369'!D320</f>
        <v>3.69</v>
      </c>
    </row>
    <row r="202" spans="1:5" x14ac:dyDescent="0.25">
      <c r="A202" s="530"/>
      <c r="B202" s="529"/>
      <c r="C202" s="111" t="str">
        <f>'инновации+добровольчество0,369'!A321</f>
        <v>Бумага А4 цвет</v>
      </c>
      <c r="D202" s="67" t="str">
        <f>'инновации+добровольчество0,369'!B321</f>
        <v>шт</v>
      </c>
      <c r="E202" s="169">
        <f>'инновации+добровольчество0,369'!D321</f>
        <v>1.845</v>
      </c>
    </row>
    <row r="203" spans="1:5" x14ac:dyDescent="0.25">
      <c r="A203" s="530"/>
      <c r="B203" s="529"/>
      <c r="C203" s="111" t="str">
        <f>'инновации+добровольчество0,369'!A322</f>
        <v>Бумага 10*15 матовая</v>
      </c>
      <c r="D203" s="67" t="str">
        <f>'инновации+добровольчество0,369'!B322</f>
        <v>шт</v>
      </c>
      <c r="E203" s="169">
        <f>'инновации+добровольчество0,369'!D322</f>
        <v>1.476</v>
      </c>
    </row>
    <row r="204" spans="1:5" x14ac:dyDescent="0.25">
      <c r="A204" s="530"/>
      <c r="B204" s="529"/>
      <c r="C204" s="111" t="str">
        <f>'инновации+добровольчество0,369'!A323</f>
        <v>Бумага 10*15 глянец 230 гр</v>
      </c>
      <c r="D204" s="67" t="str">
        <f>'инновации+добровольчество0,369'!B323</f>
        <v>шт</v>
      </c>
      <c r="E204" s="169">
        <f>'инновации+добровольчество0,369'!D323</f>
        <v>1.476</v>
      </c>
    </row>
    <row r="205" spans="1:5" x14ac:dyDescent="0.25">
      <c r="A205" s="530"/>
      <c r="B205" s="529"/>
      <c r="C205" s="111" t="str">
        <f>'инновации+добровольчество0,369'!A324</f>
        <v>Бумага А4 глянец 230 гр</v>
      </c>
      <c r="D205" s="67" t="str">
        <f>'инновации+добровольчество0,369'!B324</f>
        <v>шт</v>
      </c>
      <c r="E205" s="169">
        <f>'инновации+добровольчество0,369'!D324</f>
        <v>3.69</v>
      </c>
    </row>
    <row r="206" spans="1:5" x14ac:dyDescent="0.25">
      <c r="A206" s="530"/>
      <c r="B206" s="529"/>
      <c r="C206" s="111" t="str">
        <f>'инновации+добровольчество0,369'!A325</f>
        <v>Бумага А4 матовая 160 гр</v>
      </c>
      <c r="D206" s="67" t="str">
        <f>'инновации+добровольчество0,369'!B325</f>
        <v>шт</v>
      </c>
      <c r="E206" s="169">
        <f>'инновации+добровольчество0,369'!D325</f>
        <v>3.69</v>
      </c>
    </row>
    <row r="207" spans="1:5" x14ac:dyDescent="0.25">
      <c r="A207" s="530"/>
      <c r="B207" s="529"/>
      <c r="C207" s="111" t="str">
        <f>'инновации+добровольчество0,369'!A326</f>
        <v>Бумага А4 матовая 230 гр</v>
      </c>
      <c r="D207" s="67" t="str">
        <f>'инновации+добровольчество0,369'!B326</f>
        <v>шт</v>
      </c>
      <c r="E207" s="169">
        <f>'инновации+добровольчество0,369'!D326</f>
        <v>3.69</v>
      </c>
    </row>
    <row r="208" spans="1:5" x14ac:dyDescent="0.25">
      <c r="A208" s="530"/>
      <c r="B208" s="529"/>
      <c r="C208" s="111" t="str">
        <f>'инновации+добровольчество0,369'!A327</f>
        <v>Бумага А4 глянец 240 гр</v>
      </c>
      <c r="D208" s="67" t="str">
        <f>'инновации+добровольчество0,369'!B327</f>
        <v>шт</v>
      </c>
      <c r="E208" s="169">
        <f>'инновации+добровольчество0,369'!D327</f>
        <v>3.69</v>
      </c>
    </row>
    <row r="209" spans="1:5" x14ac:dyDescent="0.25">
      <c r="A209" s="530"/>
      <c r="B209" s="529"/>
      <c r="C209" s="111" t="str">
        <f>'инновации+добровольчество0,369'!A328</f>
        <v>скотч 72*56</v>
      </c>
      <c r="D209" s="67" t="str">
        <f>'инновации+добровольчество0,369'!B328</f>
        <v>шт</v>
      </c>
      <c r="E209" s="169">
        <f>'инновации+добровольчество0,369'!D328</f>
        <v>7.38</v>
      </c>
    </row>
    <row r="210" spans="1:5" x14ac:dyDescent="0.25">
      <c r="A210" s="530"/>
      <c r="B210" s="529"/>
      <c r="C210" s="111" t="str">
        <f>'инновации+добровольчество0,369'!A329</f>
        <v>скотч 48*100</v>
      </c>
      <c r="D210" s="67" t="str">
        <f>'инновации+добровольчество0,369'!B329</f>
        <v>шт</v>
      </c>
      <c r="E210" s="169">
        <f>'инновации+добровольчество0,369'!D329</f>
        <v>7.38</v>
      </c>
    </row>
    <row r="211" spans="1:5" x14ac:dyDescent="0.25">
      <c r="A211" s="530"/>
      <c r="B211" s="529"/>
      <c r="C211" s="111" t="str">
        <f>'инновации+добровольчество0,369'!A330</f>
        <v>блок самоклей</v>
      </c>
      <c r="D211" s="67" t="str">
        <f>'инновации+добровольчество0,369'!B330</f>
        <v>шт</v>
      </c>
      <c r="E211" s="169">
        <f>'инновации+добровольчество0,369'!D330</f>
        <v>1.845</v>
      </c>
    </row>
    <row r="212" spans="1:5" x14ac:dyDescent="0.25">
      <c r="A212" s="530"/>
      <c r="B212" s="529"/>
      <c r="C212" s="111" t="str">
        <f>'инновации+добровольчество0,369'!A331</f>
        <v>папка-регистратор</v>
      </c>
      <c r="D212" s="67" t="str">
        <f>'инновации+добровольчество0,369'!B331</f>
        <v>шт</v>
      </c>
      <c r="E212" s="169">
        <f>'инновации+добровольчество0,369'!D331</f>
        <v>14.76</v>
      </c>
    </row>
    <row r="213" spans="1:5" x14ac:dyDescent="0.25">
      <c r="A213" s="530"/>
      <c r="B213" s="529"/>
      <c r="C213" s="111" t="str">
        <f>'инновации+добровольчество0,369'!A332</f>
        <v>картон белый</v>
      </c>
      <c r="D213" s="67" t="str">
        <f>'инновации+добровольчество0,369'!B332</f>
        <v>шт</v>
      </c>
      <c r="E213" s="169">
        <f>'инновации+добровольчество0,369'!D332</f>
        <v>3.69</v>
      </c>
    </row>
    <row r="214" spans="1:5" x14ac:dyDescent="0.25">
      <c r="A214" s="530"/>
      <c r="B214" s="529"/>
      <c r="C214" s="111" t="str">
        <f>'инновации+добровольчество0,369'!A333</f>
        <v>пружина 51 мм</v>
      </c>
      <c r="D214" s="67" t="str">
        <f>'инновации+добровольчество0,369'!B333</f>
        <v>шт</v>
      </c>
      <c r="E214" s="169">
        <f>'инновации+добровольчество0,369'!D333</f>
        <v>7.38</v>
      </c>
    </row>
    <row r="215" spans="1:5" x14ac:dyDescent="0.25">
      <c r="A215" s="530"/>
      <c r="B215" s="529"/>
      <c r="C215" s="111" t="str">
        <f>'инновации+добровольчество0,369'!A334</f>
        <v>скотч 15 мм</v>
      </c>
      <c r="D215" s="67" t="str">
        <f>'инновации+добровольчество0,369'!B334</f>
        <v>шт</v>
      </c>
      <c r="E215" s="169">
        <f>'инновации+добровольчество0,369'!D334</f>
        <v>18.45</v>
      </c>
    </row>
    <row r="216" spans="1:5" x14ac:dyDescent="0.25">
      <c r="A216" s="530"/>
      <c r="B216" s="529"/>
      <c r="C216" s="111" t="str">
        <f>'инновации+добровольчество0,369'!A335</f>
        <v>бейдж</v>
      </c>
      <c r="D216" s="67" t="str">
        <f>'инновации+добровольчество0,369'!B335</f>
        <v>шт</v>
      </c>
      <c r="E216" s="169">
        <f>'инновации+добровольчество0,369'!D335</f>
        <v>7.38</v>
      </c>
    </row>
    <row r="217" spans="1:5" x14ac:dyDescent="0.25">
      <c r="A217" s="530"/>
      <c r="B217" s="529"/>
      <c r="C217" s="111" t="str">
        <f>'инновации+добровольчество0,369'!A336</f>
        <v>шнурок для бейджа</v>
      </c>
      <c r="D217" s="67" t="str">
        <f>'инновации+добровольчество0,369'!B336</f>
        <v>шт</v>
      </c>
      <c r="E217" s="169">
        <f>'инновации+добровольчество0,369'!D336</f>
        <v>7.38</v>
      </c>
    </row>
    <row r="218" spans="1:5" x14ac:dyDescent="0.25">
      <c r="A218" s="530"/>
      <c r="B218" s="529"/>
      <c r="C218" s="111" t="str">
        <f>'инновации+добровольчество0,369'!A337</f>
        <v>блокнот для флипчарта</v>
      </c>
      <c r="D218" s="67" t="str">
        <f>'инновации+добровольчество0,369'!B337</f>
        <v>шт</v>
      </c>
      <c r="E218" s="169">
        <f>'инновации+добровольчество0,369'!D337</f>
        <v>1.845</v>
      </c>
    </row>
    <row r="219" spans="1:5" x14ac:dyDescent="0.25">
      <c r="A219" s="530"/>
      <c r="B219" s="529"/>
      <c r="C219" s="111" t="str">
        <f>'инновации+добровольчество0,369'!A338</f>
        <v>бумага писчая</v>
      </c>
      <c r="D219" s="67" t="str">
        <f>'инновации+добровольчество0,369'!B338</f>
        <v>шт</v>
      </c>
      <c r="E219" s="169">
        <f>'инновации+добровольчество0,369'!D338</f>
        <v>3.69</v>
      </c>
    </row>
    <row r="220" spans="1:5" x14ac:dyDescent="0.25">
      <c r="A220" s="530"/>
      <c r="B220" s="529"/>
      <c r="C220" s="111" t="str">
        <f>'инновации+добровольчество0,369'!A339</f>
        <v>фоторамка дерево</v>
      </c>
      <c r="D220" s="67" t="str">
        <f>'инновации+добровольчество0,369'!B339</f>
        <v>шт</v>
      </c>
      <c r="E220" s="169">
        <f>'инновации+добровольчество0,369'!D339</f>
        <v>36.9</v>
      </c>
    </row>
    <row r="221" spans="1:5" ht="15" customHeight="1" x14ac:dyDescent="0.25">
      <c r="A221" s="530"/>
      <c r="B221" s="529"/>
      <c r="C221" s="111" t="str">
        <f>'инновации+добровольчество0,369'!A340</f>
        <v>фоторамка пластик</v>
      </c>
      <c r="D221" s="67" t="str">
        <f>'инновации+добровольчество0,369'!B340</f>
        <v>шт</v>
      </c>
      <c r="E221" s="169">
        <f>'инновации+добровольчество0,369'!D340</f>
        <v>27.675000000000001</v>
      </c>
    </row>
    <row r="222" spans="1:5" ht="15" customHeight="1" x14ac:dyDescent="0.25">
      <c r="A222" s="530"/>
      <c r="B222" s="529"/>
      <c r="C222" s="111" t="str">
        <f>'инновации+добровольчество0,369'!A341</f>
        <v>фоторамка пластик</v>
      </c>
      <c r="D222" s="67" t="str">
        <f>'инновации+добровольчество0,369'!B341</f>
        <v>шт</v>
      </c>
      <c r="E222" s="169">
        <f>'инновации+добровольчество0,369'!D341</f>
        <v>27.675000000000001</v>
      </c>
    </row>
    <row r="223" spans="1:5" ht="15" customHeight="1" x14ac:dyDescent="0.25">
      <c r="A223" s="530"/>
      <c r="B223" s="529"/>
      <c r="C223" s="111" t="str">
        <f>'инновации+добровольчество0,369'!A342</f>
        <v>батарейка ААА 24 шт /уп</v>
      </c>
      <c r="D223" s="67" t="str">
        <f>'инновации+добровольчество0,369'!B342</f>
        <v>шт</v>
      </c>
      <c r="E223" s="169">
        <f>'инновации+добровольчество0,369'!D342</f>
        <v>1.107</v>
      </c>
    </row>
    <row r="224" spans="1:5" x14ac:dyDescent="0.25">
      <c r="A224" s="530"/>
      <c r="B224" s="529"/>
      <c r="C224" s="111" t="str">
        <f>'инновации+добровольчество0,369'!A343</f>
        <v>батарейка ААА 12 шт /уп</v>
      </c>
      <c r="D224" s="67" t="str">
        <f>'инновации+добровольчество0,369'!B343</f>
        <v>шт</v>
      </c>
      <c r="E224" s="169">
        <f>'инновации+добровольчество0,369'!D343</f>
        <v>0.73799999999999999</v>
      </c>
    </row>
    <row r="225" spans="1:5" x14ac:dyDescent="0.25">
      <c r="A225" s="530"/>
      <c r="B225" s="529"/>
      <c r="C225" s="111" t="str">
        <f>'инновации+добровольчество0,369'!A344</f>
        <v>батарейка АА 24 шт /уп</v>
      </c>
      <c r="D225" s="67" t="str">
        <f>'инновации+добровольчество0,369'!B344</f>
        <v>шт</v>
      </c>
      <c r="E225" s="169">
        <f>'инновации+добровольчество0,369'!D344</f>
        <v>0.73799999999999999</v>
      </c>
    </row>
    <row r="226" spans="1:5" x14ac:dyDescent="0.25">
      <c r="A226" s="530"/>
      <c r="B226" s="529"/>
      <c r="C226" s="111" t="str">
        <f>'инновации+добровольчество0,369'!A345</f>
        <v>батарейка АА 18 шт /уп</v>
      </c>
      <c r="D226" s="67" t="str">
        <f>'инновации+добровольчество0,369'!B345</f>
        <v>шт</v>
      </c>
      <c r="E226" s="169">
        <f>'инновации+добровольчество0,369'!D345</f>
        <v>1.107</v>
      </c>
    </row>
    <row r="227" spans="1:5" ht="15" customHeight="1" x14ac:dyDescent="0.25">
      <c r="A227" s="530"/>
      <c r="B227" s="529"/>
      <c r="C227" s="111" t="str">
        <f>'инновации+добровольчество0,369'!A346</f>
        <v xml:space="preserve">вилка </v>
      </c>
      <c r="D227" s="67" t="str">
        <f>'инновации+добровольчество0,369'!B346</f>
        <v>шт</v>
      </c>
      <c r="E227" s="169">
        <f>'инновации+добровольчество0,369'!D346</f>
        <v>1.107</v>
      </c>
    </row>
    <row r="228" spans="1:5" x14ac:dyDescent="0.25">
      <c r="A228" s="530"/>
      <c r="B228" s="529"/>
      <c r="C228" s="111" t="str">
        <f>'инновации+добровольчество0,369'!A347</f>
        <v>четверник</v>
      </c>
      <c r="D228" s="67" t="str">
        <f>'инновации+добровольчество0,369'!B347</f>
        <v>шт</v>
      </c>
      <c r="E228" s="169">
        <f>'инновации+добровольчество0,369'!D347</f>
        <v>0.36899999999999999</v>
      </c>
    </row>
    <row r="229" spans="1:5" ht="15" customHeight="1" x14ac:dyDescent="0.25">
      <c r="A229" s="530"/>
      <c r="B229" s="529"/>
      <c r="C229" s="111" t="str">
        <f>'инновации+добровольчество0,369'!A348</f>
        <v>четверник</v>
      </c>
      <c r="D229" s="67" t="str">
        <f>'инновации+добровольчество0,369'!B348</f>
        <v>шт</v>
      </c>
      <c r="E229" s="169">
        <f>'инновации+добровольчество0,369'!D348</f>
        <v>0.36899999999999999</v>
      </c>
    </row>
    <row r="230" spans="1:5" ht="15" customHeight="1" x14ac:dyDescent="0.25">
      <c r="A230" s="530"/>
      <c r="B230" s="529"/>
      <c r="C230" s="111" t="str">
        <f>'инновации+добровольчество0,369'!A349</f>
        <v>пугнп</v>
      </c>
      <c r="D230" s="67" t="str">
        <f>'инновации+добровольчество0,369'!B349</f>
        <v>шт</v>
      </c>
      <c r="E230" s="169">
        <f>'инновации+добровольчество0,369'!D349</f>
        <v>11.808</v>
      </c>
    </row>
    <row r="231" spans="1:5" ht="15" customHeight="1" x14ac:dyDescent="0.25">
      <c r="A231" s="530"/>
      <c r="B231" s="529"/>
      <c r="C231" s="111" t="str">
        <f>'инновации+добровольчество0,369'!A350</f>
        <v>лампа накаливания</v>
      </c>
      <c r="D231" s="67" t="str">
        <f>'инновации+добровольчество0,369'!B350</f>
        <v>шт</v>
      </c>
      <c r="E231" s="169">
        <f>'инновации+добровольчество0,369'!D350</f>
        <v>2.5830000000000002</v>
      </c>
    </row>
    <row r="232" spans="1:5" ht="15" customHeight="1" x14ac:dyDescent="0.25">
      <c r="A232" s="530"/>
      <c r="B232" s="529"/>
      <c r="C232" s="111" t="str">
        <f>'инновации+добровольчество0,369'!A351</f>
        <v>ключ трубный</v>
      </c>
      <c r="D232" s="67" t="str">
        <f>'инновации+добровольчество0,369'!B351</f>
        <v>шт</v>
      </c>
      <c r="E232" s="169">
        <f>'инновации+добровольчество0,369'!D351</f>
        <v>0.36899999999999999</v>
      </c>
    </row>
    <row r="233" spans="1:5" ht="15" customHeight="1" x14ac:dyDescent="0.25">
      <c r="A233" s="530"/>
      <c r="B233" s="529"/>
      <c r="C233" s="111" t="str">
        <f>'инновации+добровольчество0,369'!A352</f>
        <v>лента фум</v>
      </c>
      <c r="D233" s="67" t="str">
        <f>'инновации+добровольчество0,369'!B352</f>
        <v>шт</v>
      </c>
      <c r="E233" s="169">
        <f>'инновации+добровольчество0,369'!D352</f>
        <v>0.36899999999999999</v>
      </c>
    </row>
    <row r="234" spans="1:5" ht="15" customHeight="1" x14ac:dyDescent="0.25">
      <c r="A234" s="530"/>
      <c r="B234" s="529"/>
      <c r="C234" s="111" t="str">
        <f>'инновации+добровольчество0,369'!A353</f>
        <v>защелка замка</v>
      </c>
      <c r="D234" s="67" t="str">
        <f>'инновации+добровольчество0,369'!B353</f>
        <v>шт</v>
      </c>
      <c r="E234" s="169">
        <f>'инновации+добровольчество0,369'!D353</f>
        <v>0.36899999999999999</v>
      </c>
    </row>
    <row r="235" spans="1:5" x14ac:dyDescent="0.25">
      <c r="A235" s="530"/>
      <c r="B235" s="529"/>
      <c r="C235" s="111" t="str">
        <f>'инновации+добровольчество0,369'!A354</f>
        <v>стержни клеевые по керамике</v>
      </c>
      <c r="D235" s="67" t="str">
        <f>'инновации+добровольчество0,369'!B354</f>
        <v>шт</v>
      </c>
      <c r="E235" s="169">
        <f>'инновации+добровольчество0,369'!D354</f>
        <v>3.69</v>
      </c>
    </row>
    <row r="236" spans="1:5" ht="15" customHeight="1" x14ac:dyDescent="0.25">
      <c r="A236" s="530"/>
      <c r="B236" s="529"/>
      <c r="C236" s="111" t="str">
        <f>'инновации+добровольчество0,369'!A355</f>
        <v>щит распределительный</v>
      </c>
      <c r="D236" s="67" t="str">
        <f>'инновации+добровольчество0,369'!B355</f>
        <v>шт</v>
      </c>
      <c r="E236" s="169">
        <f>'инновации+добровольчество0,369'!D355</f>
        <v>0.36899999999999999</v>
      </c>
    </row>
    <row r="237" spans="1:5" ht="15" customHeight="1" x14ac:dyDescent="0.25">
      <c r="A237" s="530"/>
      <c r="B237" s="529"/>
      <c r="C237" s="111" t="str">
        <f>'инновации+добровольчество0,369'!A356</f>
        <v>фен технический</v>
      </c>
      <c r="D237" s="67" t="str">
        <f>'инновации+добровольчество0,369'!B356</f>
        <v>шт</v>
      </c>
      <c r="E237" s="169">
        <f>'инновации+добровольчество0,369'!D356</f>
        <v>0.36899999999999999</v>
      </c>
    </row>
    <row r="238" spans="1:5" ht="15" customHeight="1" x14ac:dyDescent="0.25">
      <c r="A238" s="530"/>
      <c r="B238" s="529"/>
      <c r="C238" s="111" t="str">
        <f>'инновации+добровольчество0,369'!A357</f>
        <v>струбцина</v>
      </c>
      <c r="D238" s="67" t="str">
        <f>'инновации+добровольчество0,369'!B357</f>
        <v>шт</v>
      </c>
      <c r="E238" s="169">
        <f>'инновации+добровольчество0,369'!D357</f>
        <v>0.36899999999999999</v>
      </c>
    </row>
    <row r="239" spans="1:5" x14ac:dyDescent="0.25">
      <c r="A239" s="530"/>
      <c r="B239" s="529"/>
      <c r="C239" s="111" t="str">
        <f>'инновации+добровольчество0,369'!A358</f>
        <v>набор струбцины</v>
      </c>
      <c r="D239" s="67" t="str">
        <f>'инновации+добровольчество0,369'!B358</f>
        <v>шт</v>
      </c>
      <c r="E239" s="169">
        <f>'инновации+добровольчество0,369'!D358</f>
        <v>0.36899999999999999</v>
      </c>
    </row>
    <row r="240" spans="1:5" ht="15" customHeight="1" x14ac:dyDescent="0.25">
      <c r="A240" s="530"/>
      <c r="B240" s="529"/>
      <c r="C240" s="111" t="str">
        <f>'инновации+добровольчество0,369'!A359</f>
        <v>сверло по бетону</v>
      </c>
      <c r="D240" s="67" t="str">
        <f>'инновации+добровольчество0,369'!B359</f>
        <v>шт</v>
      </c>
      <c r="E240" s="169">
        <f>'инновации+добровольчество0,369'!D359</f>
        <v>0.36899999999999999</v>
      </c>
    </row>
    <row r="241" spans="1:5" ht="15" customHeight="1" x14ac:dyDescent="0.25">
      <c r="A241" s="530"/>
      <c r="B241" s="529"/>
      <c r="C241" s="111" t="str">
        <f>'инновации+добровольчество0,369'!A360</f>
        <v>кисть Акор работы по дереву</v>
      </c>
      <c r="D241" s="67" t="str">
        <f>'инновации+добровольчество0,369'!B360</f>
        <v>шт</v>
      </c>
      <c r="E241" s="169">
        <f>'инновации+добровольчество0,369'!D360</f>
        <v>3.3209999999999997</v>
      </c>
    </row>
    <row r="242" spans="1:5" ht="15" customHeight="1" x14ac:dyDescent="0.25">
      <c r="A242" s="530"/>
      <c r="B242" s="529"/>
      <c r="C242" s="111" t="str">
        <f>'инновации+добровольчество0,369'!A361</f>
        <v>эмаль аэрозоль желтая 520 мл</v>
      </c>
      <c r="D242" s="67" t="str">
        <f>'инновации+добровольчество0,369'!B361</f>
        <v>шт</v>
      </c>
      <c r="E242" s="169">
        <f>'инновации+добровольчество0,369'!D361</f>
        <v>0.36899999999999999</v>
      </c>
    </row>
    <row r="243" spans="1:5" x14ac:dyDescent="0.25">
      <c r="A243" s="530"/>
      <c r="B243" s="529"/>
      <c r="C243" s="111" t="str">
        <f>'инновации+добровольчество0,369'!A362</f>
        <v>эмаль аэрозоль голубая 520 мл</v>
      </c>
      <c r="D243" s="67" t="str">
        <f>'инновации+добровольчество0,369'!B362</f>
        <v>шт</v>
      </c>
      <c r="E243" s="169">
        <f>'инновации+добровольчество0,369'!D362</f>
        <v>1.107</v>
      </c>
    </row>
    <row r="244" spans="1:5" ht="15" customHeight="1" x14ac:dyDescent="0.25">
      <c r="A244" s="530"/>
      <c r="B244" s="529"/>
      <c r="C244" s="111" t="str">
        <f>'инновации+добровольчество0,369'!A363</f>
        <v>набор инструментов зубр</v>
      </c>
      <c r="D244" s="67" t="str">
        <f>'инновации+добровольчество0,369'!B363</f>
        <v>шт</v>
      </c>
      <c r="E244" s="169">
        <f>'инновации+добровольчество0,369'!D363</f>
        <v>0.36899999999999999</v>
      </c>
    </row>
    <row r="245" spans="1:5" ht="15" customHeight="1" x14ac:dyDescent="0.25">
      <c r="A245" s="530"/>
      <c r="B245" s="529"/>
      <c r="C245" s="111" t="str">
        <f>'инновации+добровольчество0,369'!A364</f>
        <v>набор сьемников для панели</v>
      </c>
      <c r="D245" s="67" t="str">
        <f>'инновации+добровольчество0,369'!B364</f>
        <v>шт</v>
      </c>
      <c r="E245" s="169">
        <f>'инновации+добровольчество0,369'!D364</f>
        <v>0.36899999999999999</v>
      </c>
    </row>
    <row r="246" spans="1:5" ht="15" customHeight="1" x14ac:dyDescent="0.25">
      <c r="A246" s="530"/>
      <c r="B246" s="529"/>
      <c r="C246" s="111" t="str">
        <f>'инновации+добровольчество0,369'!A365</f>
        <v>смазка проникающая</v>
      </c>
      <c r="D246" s="67" t="str">
        <f>'инновации+добровольчество0,369'!B365</f>
        <v>шт</v>
      </c>
      <c r="E246" s="169">
        <f>'инновации+добровольчество0,369'!D365</f>
        <v>0.36899999999999999</v>
      </c>
    </row>
    <row r="247" spans="1:5" ht="15" customHeight="1" x14ac:dyDescent="0.25">
      <c r="A247" s="530"/>
      <c r="B247" s="529"/>
      <c r="C247" s="111" t="str">
        <f>'инновации+добровольчество0,369'!A366</f>
        <v>воронка уфа</v>
      </c>
      <c r="D247" s="67" t="str">
        <f>'инновации+добровольчество0,369'!B366</f>
        <v>шт</v>
      </c>
      <c r="E247" s="169">
        <f>'инновации+добровольчество0,369'!D366</f>
        <v>0.36899999999999999</v>
      </c>
    </row>
    <row r="248" spans="1:5" ht="15" customHeight="1" x14ac:dyDescent="0.25">
      <c r="A248" s="530"/>
      <c r="B248" s="529"/>
      <c r="C248" s="111" t="str">
        <f>'инновации+добровольчество0,369'!A367</f>
        <v>угол крепежный усиленный</v>
      </c>
      <c r="D248" s="67" t="str">
        <f>'инновации+добровольчество0,369'!B367</f>
        <v>шт</v>
      </c>
      <c r="E248" s="169">
        <f>'инновации+добровольчество0,369'!D367</f>
        <v>2.214</v>
      </c>
    </row>
    <row r="249" spans="1:5" ht="15" customHeight="1" x14ac:dyDescent="0.25">
      <c r="A249" s="530"/>
      <c r="B249" s="529"/>
      <c r="C249" s="111" t="str">
        <f>'инновации+добровольчество0,369'!A368</f>
        <v>обои винил</v>
      </c>
      <c r="D249" s="67" t="str">
        <f>'инновации+добровольчество0,369'!B368</f>
        <v>шт</v>
      </c>
      <c r="E249" s="169">
        <f>'инновации+добровольчество0,369'!D368</f>
        <v>1.476</v>
      </c>
    </row>
    <row r="250" spans="1:5" ht="15" customHeight="1" x14ac:dyDescent="0.25">
      <c r="A250" s="530"/>
      <c r="B250" s="529"/>
      <c r="C250" s="111" t="str">
        <f>'инновации+добровольчество0,369'!A369</f>
        <v>альба обои влагостойкие</v>
      </c>
      <c r="D250" s="67" t="str">
        <f>'инновации+добровольчество0,369'!B369</f>
        <v>шт</v>
      </c>
      <c r="E250" s="169">
        <f>'инновации+добровольчество0,369'!D369</f>
        <v>0.73799999999999999</v>
      </c>
    </row>
    <row r="251" spans="1:5" ht="15" customHeight="1" x14ac:dyDescent="0.25">
      <c r="A251" s="530"/>
      <c r="B251" s="529"/>
      <c r="C251" s="111" t="str">
        <f>'инновации+добровольчество0,369'!A370</f>
        <v>эмаль пф-266 алк. Красно-коричневая</v>
      </c>
      <c r="D251" s="67" t="str">
        <f>'инновации+добровольчество0,369'!B370</f>
        <v>шт</v>
      </c>
      <c r="E251" s="169">
        <f>'инновации+добровольчество0,369'!D370</f>
        <v>0.73799999999999999</v>
      </c>
    </row>
    <row r="252" spans="1:5" ht="15" customHeight="1" x14ac:dyDescent="0.25">
      <c r="A252" s="530"/>
      <c r="B252" s="529"/>
      <c r="C252" s="111" t="str">
        <f>'инновации+добровольчество0,369'!A371</f>
        <v>эмаль олеколор пф-115 алк белая</v>
      </c>
      <c r="D252" s="67" t="str">
        <f>'инновации+добровольчество0,369'!B371</f>
        <v>шт</v>
      </c>
      <c r="E252" s="169">
        <f>'инновации+добровольчество0,369'!D371</f>
        <v>0.36899999999999999</v>
      </c>
    </row>
    <row r="253" spans="1:5" ht="15" customHeight="1" x14ac:dyDescent="0.25">
      <c r="A253" s="530"/>
      <c r="B253" s="529"/>
      <c r="C253" s="111" t="str">
        <f>'инновации+добровольчество0,369'!A372</f>
        <v>валик Акор мастер240*8</v>
      </c>
      <c r="D253" s="67" t="str">
        <f>'инновации+добровольчество0,369'!B372</f>
        <v>шт</v>
      </c>
      <c r="E253" s="169">
        <f>'инновации+добровольчество0,369'!D372</f>
        <v>0.36899999999999999</v>
      </c>
    </row>
    <row r="254" spans="1:5" ht="15" customHeight="1" x14ac:dyDescent="0.25">
      <c r="A254" s="530"/>
      <c r="B254" s="529"/>
      <c r="C254" s="111" t="str">
        <f>'инновации+добровольчество0,369'!A373</f>
        <v>кисть акор столичная</v>
      </c>
      <c r="D254" s="67" t="str">
        <f>'инновации+добровольчество0,369'!B373</f>
        <v>шт</v>
      </c>
      <c r="E254" s="169">
        <f>'инновации+добровольчество0,369'!D373</f>
        <v>0.73799999999999999</v>
      </c>
    </row>
    <row r="255" spans="1:5" ht="15" customHeight="1" x14ac:dyDescent="0.25">
      <c r="A255" s="530"/>
      <c r="B255" s="529"/>
      <c r="C255" s="111" t="str">
        <f>'инновации+добровольчество0,369'!A374</f>
        <v>клей обойный</v>
      </c>
      <c r="D255" s="67" t="str">
        <f>'инновации+добровольчество0,369'!B374</f>
        <v>шт</v>
      </c>
      <c r="E255" s="169">
        <f>'инновации+добровольчество0,369'!D374</f>
        <v>0.36899999999999999</v>
      </c>
    </row>
    <row r="256" spans="1:5" ht="15" customHeight="1" x14ac:dyDescent="0.25">
      <c r="A256" s="530"/>
      <c r="B256" s="529"/>
      <c r="C256" s="111" t="str">
        <f>'инновации+добровольчество0,369'!A375</f>
        <v>удлинитель нильсон</v>
      </c>
      <c r="D256" s="67" t="str">
        <f>'инновации+добровольчество0,369'!B375</f>
        <v>шт</v>
      </c>
      <c r="E256" s="169">
        <f>'инновации+добровольчество0,369'!D375</f>
        <v>0.73799999999999999</v>
      </c>
    </row>
    <row r="257" spans="1:5" ht="15" customHeight="1" x14ac:dyDescent="0.25">
      <c r="A257" s="530"/>
      <c r="B257" s="529"/>
      <c r="C257" s="111" t="str">
        <f>'инновации+добровольчество0,369'!A376</f>
        <v>штора рул 180 см</v>
      </c>
      <c r="D257" s="67" t="str">
        <f>'инновации+добровольчество0,369'!B376</f>
        <v>шт</v>
      </c>
      <c r="E257" s="169">
        <f>'инновации+добровольчество0,369'!D376</f>
        <v>0.36899999999999999</v>
      </c>
    </row>
    <row r="258" spans="1:5" ht="15" customHeight="1" x14ac:dyDescent="0.25">
      <c r="A258" s="530"/>
      <c r="B258" s="529"/>
      <c r="C258" s="111" t="str">
        <f>'инновации+добровольчество0,369'!A377</f>
        <v>штора рул 150 см</v>
      </c>
      <c r="D258" s="67" t="str">
        <f>'инновации+добровольчество0,369'!B377</f>
        <v>шт</v>
      </c>
      <c r="E258" s="169">
        <f>'инновации+добровольчество0,369'!D377</f>
        <v>0.36899999999999999</v>
      </c>
    </row>
    <row r="259" spans="1:5" ht="15" customHeight="1" x14ac:dyDescent="0.25">
      <c r="A259" s="530"/>
      <c r="B259" s="529"/>
      <c r="C259" s="111" t="str">
        <f>'инновации+добровольчество0,369'!A378</f>
        <v>клей космофен</v>
      </c>
      <c r="D259" s="67" t="str">
        <f>'инновации+добровольчество0,369'!B378</f>
        <v>шт</v>
      </c>
      <c r="E259" s="169">
        <f>'инновации+добровольчество0,369'!D378</f>
        <v>0.73799999999999999</v>
      </c>
    </row>
    <row r="260" spans="1:5" ht="15" customHeight="1" x14ac:dyDescent="0.25">
      <c r="A260" s="530"/>
      <c r="B260" s="529"/>
      <c r="C260" s="111" t="str">
        <f>'инновации+добровольчество0,369'!A379</f>
        <v>обои ротанг</v>
      </c>
      <c r="D260" s="67" t="str">
        <f>'инновации+добровольчество0,369'!B379</f>
        <v>шт</v>
      </c>
      <c r="E260" s="169">
        <f>'инновации+добровольчество0,369'!D379</f>
        <v>1.845</v>
      </c>
    </row>
    <row r="261" spans="1:5" ht="15" customHeight="1" x14ac:dyDescent="0.25">
      <c r="A261" s="530"/>
      <c r="B261" s="529"/>
      <c r="C261" s="111" t="str">
        <f>'инновации+добровольчество0,369'!A380</f>
        <v>эмаль пф-115</v>
      </c>
      <c r="D261" s="67" t="str">
        <f>'инновации+добровольчество0,369'!B380</f>
        <v>шт</v>
      </c>
      <c r="E261" s="169">
        <f>'инновации+добровольчество0,369'!D380</f>
        <v>0.36899999999999999</v>
      </c>
    </row>
    <row r="262" spans="1:5" ht="15" customHeight="1" x14ac:dyDescent="0.25">
      <c r="A262" s="530"/>
      <c r="B262" s="529"/>
      <c r="C262" s="111" t="str">
        <f>'инновации+добровольчество0,369'!A381</f>
        <v>обои альба</v>
      </c>
      <c r="D262" s="67" t="str">
        <f>'инновации+добровольчество0,369'!B381</f>
        <v>шт</v>
      </c>
      <c r="E262" s="169">
        <f>'инновации+добровольчество0,369'!D381</f>
        <v>0.36899999999999999</v>
      </c>
    </row>
    <row r="263" spans="1:5" ht="15" customHeight="1" x14ac:dyDescent="0.25">
      <c r="A263" s="530"/>
      <c r="B263" s="529"/>
      <c r="C263" s="111" t="str">
        <f>'инновации+добровольчество0,369'!A382</f>
        <v>гвозди строит</v>
      </c>
      <c r="D263" s="67" t="str">
        <f>'инновации+добровольчество0,369'!B382</f>
        <v>шт</v>
      </c>
      <c r="E263" s="169">
        <f>'инновации+добровольчество0,369'!D382</f>
        <v>1.107</v>
      </c>
    </row>
    <row r="264" spans="1:5" ht="15" customHeight="1" x14ac:dyDescent="0.25">
      <c r="A264" s="530"/>
      <c r="B264" s="529"/>
      <c r="C264" s="111" t="str">
        <f>'инновации+добровольчество0,369'!A383</f>
        <v>молоток кованый</v>
      </c>
      <c r="D264" s="67" t="str">
        <f>'инновации+добровольчество0,369'!B383</f>
        <v>шт</v>
      </c>
      <c r="E264" s="169">
        <f>'инновации+добровольчество0,369'!D383</f>
        <v>0.36899999999999999</v>
      </c>
    </row>
    <row r="265" spans="1:5" ht="15" customHeight="1" x14ac:dyDescent="0.25">
      <c r="A265" s="530"/>
      <c r="B265" s="529"/>
      <c r="C265" s="111" t="str">
        <f>'инновации+добровольчество0,369'!A384</f>
        <v>фанера береза</v>
      </c>
      <c r="D265" s="67" t="str">
        <f>'инновации+добровольчество0,369'!B384</f>
        <v>шт</v>
      </c>
      <c r="E265" s="169">
        <f>'инновации+добровольчество0,369'!D384</f>
        <v>3.69</v>
      </c>
    </row>
    <row r="266" spans="1:5" ht="15" customHeight="1" x14ac:dyDescent="0.25">
      <c r="A266" s="530"/>
      <c r="B266" s="529"/>
      <c r="C266" s="111" t="str">
        <f>'инновации+добровольчество0,369'!A385</f>
        <v>проступь черная</v>
      </c>
      <c r="D266" s="67" t="str">
        <f>'инновации+добровольчество0,369'!B385</f>
        <v>шт</v>
      </c>
      <c r="E266" s="169">
        <f>'инновации+добровольчество0,369'!D385</f>
        <v>0.73799999999999999</v>
      </c>
    </row>
    <row r="267" spans="1:5" ht="15" customHeight="1" x14ac:dyDescent="0.25">
      <c r="A267" s="530"/>
      <c r="B267" s="529"/>
      <c r="C267" s="111" t="str">
        <f>'инновации+добровольчество0,369'!A386</f>
        <v>коврик влаговпит</v>
      </c>
      <c r="D267" s="67" t="str">
        <f>'инновации+добровольчество0,369'!B386</f>
        <v>шт</v>
      </c>
      <c r="E267" s="169">
        <f>'инновации+добровольчество0,369'!D386</f>
        <v>0.73799999999999999</v>
      </c>
    </row>
    <row r="268" spans="1:5" ht="15" customHeight="1" x14ac:dyDescent="0.25">
      <c r="A268" s="530"/>
      <c r="B268" s="529"/>
      <c r="C268" s="111" t="str">
        <f>'инновации+добровольчество0,369'!A387</f>
        <v>угол крепежный</v>
      </c>
      <c r="D268" s="67" t="str">
        <f>'инновации+добровольчество0,369'!B387</f>
        <v>шт</v>
      </c>
      <c r="E268" s="169">
        <f>'инновации+добровольчество0,369'!D387</f>
        <v>7.38</v>
      </c>
    </row>
    <row r="269" spans="1:5" ht="15" customHeight="1" x14ac:dyDescent="0.25">
      <c r="A269" s="530"/>
      <c r="B269" s="529"/>
      <c r="C269" s="111" t="str">
        <f>'инновации+добровольчество0,369'!A388</f>
        <v>петля накладная</v>
      </c>
      <c r="D269" s="67" t="str">
        <f>'инновации+добровольчество0,369'!B388</f>
        <v>шт</v>
      </c>
      <c r="E269" s="169">
        <f>'инновации+добровольчество0,369'!D388</f>
        <v>0.73799999999999999</v>
      </c>
    </row>
    <row r="270" spans="1:5" ht="15" customHeight="1" x14ac:dyDescent="0.25">
      <c r="A270" s="530"/>
      <c r="B270" s="529"/>
      <c r="C270" s="111" t="str">
        <f>'инновации+добровольчество0,369'!A389</f>
        <v>проушина</v>
      </c>
      <c r="D270" s="67" t="str">
        <f>'инновации+добровольчество0,369'!B389</f>
        <v>шт</v>
      </c>
      <c r="E270" s="169">
        <f>'инновации+добровольчество0,369'!D389</f>
        <v>0.73799999999999999</v>
      </c>
    </row>
    <row r="271" spans="1:5" ht="15" customHeight="1" x14ac:dyDescent="0.25">
      <c r="A271" s="530"/>
      <c r="B271" s="529"/>
      <c r="C271" s="111" t="str">
        <f>'инновации+добровольчество0,369'!A390</f>
        <v>домкрат</v>
      </c>
      <c r="D271" s="67" t="str">
        <f>'инновации+добровольчество0,369'!B390</f>
        <v>шт</v>
      </c>
      <c r="E271" s="169">
        <f>'инновации+добровольчество0,369'!D390</f>
        <v>0.36899999999999999</v>
      </c>
    </row>
    <row r="272" spans="1:5" ht="15" customHeight="1" x14ac:dyDescent="0.25">
      <c r="A272" s="530"/>
      <c r="B272" s="529"/>
      <c r="C272" s="111" t="str">
        <f>'инновации+добровольчество0,369'!A391</f>
        <v>скотч упаковочный</v>
      </c>
      <c r="D272" s="67" t="str">
        <f>'инновации+добровольчество0,369'!B391</f>
        <v>шт</v>
      </c>
      <c r="E272" s="169">
        <f>'инновации+добровольчество0,369'!D391</f>
        <v>1.845</v>
      </c>
    </row>
    <row r="273" spans="1:5" ht="15" customHeight="1" x14ac:dyDescent="0.25">
      <c r="A273" s="530"/>
      <c r="B273" s="529"/>
      <c r="C273" s="111" t="str">
        <f>'инновации+добровольчество0,369'!A392</f>
        <v>скотч 48мм</v>
      </c>
      <c r="D273" s="67" t="str">
        <f>'инновации+добровольчество0,369'!B392</f>
        <v>шт</v>
      </c>
      <c r="E273" s="169">
        <f>'инновации+добровольчество0,369'!D392</f>
        <v>2.214</v>
      </c>
    </row>
    <row r="274" spans="1:5" ht="15" customHeight="1" x14ac:dyDescent="0.25">
      <c r="A274" s="530"/>
      <c r="B274" s="529"/>
      <c r="C274" s="111" t="str">
        <f>'инновации+добровольчество0,369'!A393</f>
        <v>сердцевина цам</v>
      </c>
      <c r="D274" s="67" t="str">
        <f>'инновации+добровольчество0,369'!B393</f>
        <v>шт</v>
      </c>
      <c r="E274" s="169">
        <f>'инновации+добровольчество0,369'!D393</f>
        <v>0.36899999999999999</v>
      </c>
    </row>
    <row r="275" spans="1:5" ht="15" customHeight="1" x14ac:dyDescent="0.25">
      <c r="A275" s="530"/>
      <c r="B275" s="529"/>
      <c r="C275" s="111" t="str">
        <f>'инновации+добровольчество0,369'!A394</f>
        <v>прожектор светодиод</v>
      </c>
      <c r="D275" s="67" t="str">
        <f>'инновации+добровольчество0,369'!B394</f>
        <v>шт</v>
      </c>
      <c r="E275" s="169">
        <f>'инновации+добровольчество0,369'!D394</f>
        <v>0.73799999999999999</v>
      </c>
    </row>
    <row r="276" spans="1:5" x14ac:dyDescent="0.25">
      <c r="A276" s="530"/>
      <c r="B276" s="529"/>
      <c r="C276" s="111" t="str">
        <f>'инновации+добровольчество0,369'!A395</f>
        <v>эмаль акрил белая 0,8 кг</v>
      </c>
      <c r="D276" s="67" t="str">
        <f>'инновации+добровольчество0,369'!B395</f>
        <v>шт</v>
      </c>
      <c r="E276" s="169">
        <f>'инновации+добровольчество0,369'!D395</f>
        <v>0.36899999999999999</v>
      </c>
    </row>
    <row r="277" spans="1:5" x14ac:dyDescent="0.25">
      <c r="A277" s="530"/>
      <c r="B277" s="529"/>
      <c r="C277" s="111" t="str">
        <f>'инновации+добровольчество0,369'!A396</f>
        <v>универс колер 80 мл алый</v>
      </c>
      <c r="D277" s="67" t="str">
        <f>'инновации+добровольчество0,369'!B396</f>
        <v>шт</v>
      </c>
      <c r="E277" s="169">
        <f>'инновации+добровольчество0,369'!D396</f>
        <v>0.36899999999999999</v>
      </c>
    </row>
    <row r="278" spans="1:5" x14ac:dyDescent="0.25">
      <c r="A278" s="530"/>
      <c r="B278" s="529"/>
      <c r="C278" s="111" t="str">
        <f>'инновации+добровольчество0,369'!A397</f>
        <v>универс колер 80 мл зеленый</v>
      </c>
      <c r="D278" s="67" t="str">
        <f>'инновации+добровольчество0,369'!B397</f>
        <v>шт</v>
      </c>
      <c r="E278" s="169">
        <f>'инновации+добровольчество0,369'!D397</f>
        <v>0.36899999999999999</v>
      </c>
    </row>
    <row r="279" spans="1:5" x14ac:dyDescent="0.25">
      <c r="A279" s="530"/>
      <c r="B279" s="529"/>
      <c r="C279" s="111" t="str">
        <f>'инновации+добровольчество0,369'!A398</f>
        <v>кран бабочка</v>
      </c>
      <c r="D279" s="67" t="str">
        <f>'инновации+добровольчество0,369'!B398</f>
        <v>шт</v>
      </c>
      <c r="E279" s="169">
        <f>'инновации+добровольчество0,369'!D398</f>
        <v>5.9039999999999999</v>
      </c>
    </row>
    <row r="280" spans="1:5" x14ac:dyDescent="0.25">
      <c r="A280" s="530"/>
      <c r="B280" s="529"/>
      <c r="C280" s="111" t="str">
        <f>'инновации+добровольчество0,369'!A399</f>
        <v>вдк интерьерная</v>
      </c>
      <c r="D280" s="67" t="str">
        <f>'инновации+добровольчество0,369'!B399</f>
        <v>шт</v>
      </c>
      <c r="E280" s="169">
        <f>'инновации+добровольчество0,369'!D399</f>
        <v>0.36899999999999999</v>
      </c>
    </row>
    <row r="281" spans="1:5" x14ac:dyDescent="0.25">
      <c r="A281" s="530"/>
      <c r="B281" s="529"/>
      <c r="C281" s="111" t="str">
        <f>'инновации+добровольчество0,369'!A400</f>
        <v>замок навесной</v>
      </c>
      <c r="D281" s="67" t="str">
        <f>'инновации+добровольчество0,369'!B400</f>
        <v>шт</v>
      </c>
      <c r="E281" s="169">
        <f>'инновации+добровольчество0,369'!D400</f>
        <v>0.36899999999999999</v>
      </c>
    </row>
    <row r="282" spans="1:5" x14ac:dyDescent="0.25">
      <c r="A282" s="530"/>
      <c r="B282" s="529"/>
      <c r="C282" s="111" t="str">
        <f>'инновации+добровольчество0,369'!A401</f>
        <v>петля накладная 85 левая</v>
      </c>
      <c r="D282" s="67" t="str">
        <f>'инновации+добровольчество0,369'!B401</f>
        <v>шт</v>
      </c>
      <c r="E282" s="169">
        <f>'инновации+добровольчество0,369'!D401</f>
        <v>0.73799999999999999</v>
      </c>
    </row>
    <row r="283" spans="1:5" x14ac:dyDescent="0.25">
      <c r="A283" s="530"/>
      <c r="B283" s="529"/>
      <c r="C283" s="111" t="str">
        <f>'инновации+добровольчество0,369'!A402</f>
        <v>петля накладная 70 правая</v>
      </c>
      <c r="D283" s="67" t="str">
        <f>'инновации+добровольчество0,369'!B402</f>
        <v>шт</v>
      </c>
      <c r="E283" s="169">
        <f>'инновации+добровольчество0,369'!D402</f>
        <v>2.952</v>
      </c>
    </row>
    <row r="284" spans="1:5" x14ac:dyDescent="0.25">
      <c r="A284" s="530"/>
      <c r="B284" s="529"/>
      <c r="C284" s="111" t="str">
        <f>'инновации+добровольчество0,369'!A403</f>
        <v>крючок ветровой</v>
      </c>
      <c r="D284" s="67" t="str">
        <f>'инновации+добровольчество0,369'!B403</f>
        <v>шт</v>
      </c>
      <c r="E284" s="169">
        <f>'инновации+добровольчество0,369'!D403</f>
        <v>2.952</v>
      </c>
    </row>
    <row r="285" spans="1:5" x14ac:dyDescent="0.25">
      <c r="A285" s="530"/>
      <c r="B285" s="529"/>
      <c r="C285" s="111" t="str">
        <f>'инновации+добровольчество0,369'!A404</f>
        <v>ручка-скоба</v>
      </c>
      <c r="D285" s="67" t="str">
        <f>'инновации+добровольчество0,369'!B404</f>
        <v>шт</v>
      </c>
      <c r="E285" s="169">
        <f>'инновации+добровольчество0,369'!D404</f>
        <v>0.73799999999999999</v>
      </c>
    </row>
    <row r="286" spans="1:5" x14ac:dyDescent="0.25">
      <c r="A286" s="530"/>
      <c r="B286" s="529"/>
      <c r="C286" s="111" t="str">
        <f>'инновации+добровольчество0,369'!A405</f>
        <v>фанера 10 мм</v>
      </c>
      <c r="D286" s="67" t="str">
        <f>'инновации+добровольчество0,369'!B405</f>
        <v>шт</v>
      </c>
      <c r="E286" s="169">
        <f>'инновации+добровольчество0,369'!D405</f>
        <v>1.476</v>
      </c>
    </row>
    <row r="287" spans="1:5" x14ac:dyDescent="0.25">
      <c r="A287" s="530"/>
      <c r="B287" s="529"/>
      <c r="C287" s="111" t="str">
        <f>'инновации+добровольчество0,369'!A406</f>
        <v>фанера 20 мм</v>
      </c>
      <c r="D287" s="67" t="str">
        <f>'инновации+добровольчество0,369'!B406</f>
        <v>шт</v>
      </c>
      <c r="E287" s="169">
        <f>'инновации+добровольчество0,369'!D406</f>
        <v>0.73799999999999999</v>
      </c>
    </row>
    <row r="288" spans="1:5" x14ac:dyDescent="0.25">
      <c r="A288" s="530"/>
      <c r="B288" s="529"/>
      <c r="C288" s="111" t="str">
        <f>'инновации+добровольчество0,369'!A407</f>
        <v>заглушка торцевая</v>
      </c>
      <c r="D288" s="67" t="str">
        <f>'инновации+добровольчество0,369'!B407</f>
        <v>шт</v>
      </c>
      <c r="E288" s="169">
        <f>'инновации+добровольчество0,369'!D407</f>
        <v>3.69</v>
      </c>
    </row>
    <row r="289" spans="1:5" x14ac:dyDescent="0.25">
      <c r="A289" s="530"/>
      <c r="B289" s="529"/>
      <c r="C289" s="111" t="str">
        <f>'инновации+добровольчество0,369'!A408</f>
        <v>проступь черная</v>
      </c>
      <c r="D289" s="67" t="str">
        <f>'инновации+добровольчество0,369'!B408</f>
        <v>шт</v>
      </c>
      <c r="E289" s="169">
        <f>'инновации+добровольчество0,369'!D408</f>
        <v>0.36899999999999999</v>
      </c>
    </row>
    <row r="290" spans="1:5" x14ac:dyDescent="0.25">
      <c r="A290" s="530"/>
      <c r="B290" s="529"/>
      <c r="C290" s="111" t="str">
        <f>'инновации+добровольчество0,369'!A409</f>
        <v>замок врезной</v>
      </c>
      <c r="D290" s="67" t="str">
        <f>'инновации+добровольчество0,369'!B409</f>
        <v>шт</v>
      </c>
      <c r="E290" s="169">
        <f>'инновации+добровольчество0,369'!D409</f>
        <v>1.476</v>
      </c>
    </row>
    <row r="291" spans="1:5" x14ac:dyDescent="0.25">
      <c r="A291" s="530"/>
      <c r="B291" s="529"/>
      <c r="C291" s="111" t="str">
        <f>'инновации+добровольчество0,369'!A410</f>
        <v>диск шлифовальный</v>
      </c>
      <c r="D291" s="67" t="str">
        <f>'инновации+добровольчество0,369'!B410</f>
        <v>шт</v>
      </c>
      <c r="E291" s="169">
        <f>'инновации+добровольчество0,369'!D410</f>
        <v>0.36899999999999999</v>
      </c>
    </row>
    <row r="292" spans="1:5" x14ac:dyDescent="0.25">
      <c r="A292" s="530"/>
      <c r="B292" s="529"/>
      <c r="C292" s="111" t="str">
        <f>'инновации+добровольчество0,369'!A411</f>
        <v>порожек стык</v>
      </c>
      <c r="D292" s="67" t="str">
        <f>'инновации+добровольчество0,369'!B411</f>
        <v>шт</v>
      </c>
      <c r="E292" s="169">
        <f>'инновации+добровольчество0,369'!D411</f>
        <v>2.214</v>
      </c>
    </row>
    <row r="293" spans="1:5" x14ac:dyDescent="0.25">
      <c r="A293" s="530"/>
      <c r="B293" s="529"/>
      <c r="C293" s="111" t="str">
        <f>'инновации+добровольчество0,369'!A412</f>
        <v>порожек стык</v>
      </c>
      <c r="D293" s="67" t="str">
        <f>'инновации+добровольчество0,369'!B412</f>
        <v>шт</v>
      </c>
      <c r="E293" s="169">
        <f>'инновации+добровольчество0,369'!D412</f>
        <v>1.107</v>
      </c>
    </row>
    <row r="294" spans="1:5" x14ac:dyDescent="0.25">
      <c r="A294" s="530"/>
      <c r="B294" s="529"/>
      <c r="C294" s="111" t="str">
        <f>'инновации+добровольчество0,369'!A413</f>
        <v>грунтовка акрил 5 кг</v>
      </c>
      <c r="D294" s="67" t="str">
        <f>'инновации+добровольчество0,369'!B413</f>
        <v>шт</v>
      </c>
      <c r="E294" s="169">
        <f>'инновации+добровольчество0,369'!D413</f>
        <v>0.36899999999999999</v>
      </c>
    </row>
    <row r="295" spans="1:5" x14ac:dyDescent="0.25">
      <c r="A295" s="530"/>
      <c r="B295" s="529"/>
      <c r="C295" s="111" t="str">
        <f>'инновации+добровольчество0,369'!A414</f>
        <v>скребок снеговой</v>
      </c>
      <c r="D295" s="67" t="str">
        <f>'инновации+добровольчество0,369'!B414</f>
        <v>шт</v>
      </c>
      <c r="E295" s="169">
        <f>'инновации+добровольчество0,369'!D414</f>
        <v>0.36899999999999999</v>
      </c>
    </row>
    <row r="296" spans="1:5" x14ac:dyDescent="0.25">
      <c r="A296" s="530"/>
      <c r="B296" s="529"/>
      <c r="C296" s="111" t="str">
        <f>'инновации+добровольчество0,369'!A415</f>
        <v>обивка для двери эконом</v>
      </c>
      <c r="D296" s="67" t="str">
        <f>'инновации+добровольчество0,369'!B415</f>
        <v>шт</v>
      </c>
      <c r="E296" s="169">
        <f>'инновации+добровольчество0,369'!D415</f>
        <v>1.476</v>
      </c>
    </row>
    <row r="297" spans="1:5" x14ac:dyDescent="0.25">
      <c r="A297" s="530"/>
      <c r="B297" s="529"/>
      <c r="C297" s="111" t="str">
        <f>'инновации+добровольчество0,369'!A416</f>
        <v>клей момент-монтаж</v>
      </c>
      <c r="D297" s="67" t="str">
        <f>'инновации+добровольчество0,369'!B416</f>
        <v>шт</v>
      </c>
      <c r="E297" s="169">
        <f>'инновации+добровольчество0,369'!D416</f>
        <v>0.73799999999999999</v>
      </c>
    </row>
    <row r="298" spans="1:5" x14ac:dyDescent="0.25">
      <c r="A298" s="530"/>
      <c r="B298" s="529"/>
      <c r="C298" s="111" t="str">
        <f>'инновации+добровольчество0,369'!A417</f>
        <v>кисть акор 38*13</v>
      </c>
      <c r="D298" s="67" t="str">
        <f>'инновации+добровольчество0,369'!B417</f>
        <v>шт</v>
      </c>
      <c r="E298" s="169">
        <f>'инновации+добровольчество0,369'!D417</f>
        <v>0.36899999999999999</v>
      </c>
    </row>
    <row r="299" spans="1:5" x14ac:dyDescent="0.25">
      <c r="A299" s="530"/>
      <c r="B299" s="529"/>
      <c r="C299" s="111" t="str">
        <f>'инновации+добровольчество0,369'!A418</f>
        <v>кисть акор 25*10</v>
      </c>
      <c r="D299" s="67" t="str">
        <f>'инновации+добровольчество0,369'!B418</f>
        <v>шт</v>
      </c>
      <c r="E299" s="169">
        <f>'инновации+добровольчество0,369'!D418</f>
        <v>0.36899999999999999</v>
      </c>
    </row>
    <row r="300" spans="1:5" x14ac:dyDescent="0.25">
      <c r="A300" s="530"/>
      <c r="B300" s="529"/>
      <c r="C300" s="111" t="str">
        <f>'инновации+добровольчество0,369'!A419</f>
        <v>саморез с прессшайбой</v>
      </c>
      <c r="D300" s="67" t="str">
        <f>'инновации+добровольчество0,369'!B419</f>
        <v>шт</v>
      </c>
      <c r="E300" s="169">
        <f>'инновации+добровольчество0,369'!D419</f>
        <v>18.45</v>
      </c>
    </row>
    <row r="301" spans="1:5" x14ac:dyDescent="0.25">
      <c r="A301" s="530"/>
      <c r="B301" s="529"/>
      <c r="C301" s="111" t="str">
        <f>'инновации+добровольчество0,369'!A420</f>
        <v>грунт алк серый 2,1</v>
      </c>
      <c r="D301" s="67" t="str">
        <f>'инновации+добровольчество0,369'!B420</f>
        <v>шт</v>
      </c>
      <c r="E301" s="169">
        <f>'инновации+добровольчество0,369'!D420</f>
        <v>0.36899999999999999</v>
      </c>
    </row>
    <row r="302" spans="1:5" x14ac:dyDescent="0.25">
      <c r="A302" s="530"/>
      <c r="B302" s="529"/>
      <c r="C302" s="111" t="str">
        <f>'инновации+добровольчество0,369'!A421</f>
        <v>грунт алк серый 1 кг</v>
      </c>
      <c r="D302" s="67" t="str">
        <f>'инновации+добровольчество0,369'!B421</f>
        <v>шт</v>
      </c>
      <c r="E302" s="169">
        <f>'инновации+добровольчество0,369'!D421</f>
        <v>0.36899999999999999</v>
      </c>
    </row>
    <row r="303" spans="1:5" x14ac:dyDescent="0.25">
      <c r="A303" s="530"/>
      <c r="B303" s="529"/>
      <c r="C303" s="111" t="str">
        <f>'инновации+добровольчество0,369'!A422</f>
        <v>кисть акор 35*10</v>
      </c>
      <c r="D303" s="67" t="str">
        <f>'инновации+добровольчество0,369'!B422</f>
        <v>шт</v>
      </c>
      <c r="E303" s="169">
        <f>'инновации+добровольчество0,369'!D422</f>
        <v>1.476</v>
      </c>
    </row>
    <row r="304" spans="1:5" x14ac:dyDescent="0.25">
      <c r="A304" s="530"/>
      <c r="B304" s="529"/>
      <c r="C304" s="111" t="str">
        <f>'инновации+добровольчество0,369'!A423</f>
        <v>растворитель</v>
      </c>
      <c r="D304" s="67" t="str">
        <f>'инновации+добровольчество0,369'!B423</f>
        <v>шт</v>
      </c>
      <c r="E304" s="169">
        <f>'инновации+добровольчество0,369'!D423</f>
        <v>0.73799999999999999</v>
      </c>
    </row>
    <row r="305" spans="1:5" x14ac:dyDescent="0.25">
      <c r="A305" s="530"/>
      <c r="B305" s="529"/>
      <c r="C305" s="111" t="str">
        <f>'инновации+добровольчество0,369'!A424</f>
        <v>эмаль пф-115</v>
      </c>
      <c r="D305" s="67" t="str">
        <f>'инновации+добровольчество0,369'!B424</f>
        <v>шт</v>
      </c>
      <c r="E305" s="169">
        <f>'инновации+добровольчество0,369'!D424</f>
        <v>0.36899999999999999</v>
      </c>
    </row>
    <row r="306" spans="1:5" x14ac:dyDescent="0.25">
      <c r="A306" s="530"/>
      <c r="B306" s="529"/>
      <c r="C306" s="111" t="str">
        <f>'инновации+добровольчество0,369'!A425</f>
        <v>клей космофен</v>
      </c>
      <c r="D306" s="67" t="str">
        <f>'инновации+добровольчество0,369'!B425</f>
        <v>шт</v>
      </c>
      <c r="E306" s="169">
        <f>'инновации+добровольчество0,369'!D425</f>
        <v>0.36899999999999999</v>
      </c>
    </row>
    <row r="307" spans="1:5" x14ac:dyDescent="0.25">
      <c r="A307" s="530"/>
      <c r="B307" s="529"/>
      <c r="C307" s="111" t="str">
        <f>'инновации+добровольчество0,369'!A426</f>
        <v>щетка чашечная 0,3*60</v>
      </c>
      <c r="D307" s="67" t="str">
        <f>'инновации+добровольчество0,369'!B426</f>
        <v>шт</v>
      </c>
      <c r="E307" s="169">
        <f>'инновации+добровольчество0,369'!D426</f>
        <v>1.107</v>
      </c>
    </row>
    <row r="308" spans="1:5" x14ac:dyDescent="0.25">
      <c r="A308" s="530"/>
      <c r="B308" s="529"/>
      <c r="C308" s="111" t="str">
        <f>'инновации+добровольчество0,369'!A427</f>
        <v>щетка чашечная 0,3*75</v>
      </c>
      <c r="D308" s="67" t="str">
        <f>'инновации+добровольчество0,369'!B427</f>
        <v>шт</v>
      </c>
      <c r="E308" s="169">
        <f>'инновации+добровольчество0,369'!D427</f>
        <v>0.73799999999999999</v>
      </c>
    </row>
    <row r="309" spans="1:5" x14ac:dyDescent="0.25">
      <c r="A309" s="530"/>
      <c r="B309" s="529"/>
      <c r="C309" s="111" t="str">
        <f>'инновации+добровольчество0,369'!A428</f>
        <v>угол внутренний, наружный</v>
      </c>
      <c r="D309" s="67" t="str">
        <f>'инновации+добровольчество0,369'!B428</f>
        <v>шт</v>
      </c>
      <c r="E309" s="169">
        <f>'инновации+добровольчество0,369'!D428</f>
        <v>7.38</v>
      </c>
    </row>
    <row r="310" spans="1:5" x14ac:dyDescent="0.25">
      <c r="A310" s="530"/>
      <c r="B310" s="529"/>
      <c r="C310" s="111" t="str">
        <f>'инновации+добровольчество0,369'!A429</f>
        <v>биты 10 шт</v>
      </c>
      <c r="D310" s="67" t="str">
        <f>'инновации+добровольчество0,369'!B429</f>
        <v>шт</v>
      </c>
      <c r="E310" s="169">
        <f>'инновации+добровольчество0,369'!D429</f>
        <v>3.69</v>
      </c>
    </row>
    <row r="311" spans="1:5" x14ac:dyDescent="0.25">
      <c r="A311" s="530"/>
      <c r="B311" s="529"/>
      <c r="C311" s="111" t="str">
        <f>'инновации+добровольчество0,369'!A430</f>
        <v>болт шестигранный</v>
      </c>
      <c r="D311" s="67" t="str">
        <f>'инновации+добровольчество0,369'!B430</f>
        <v>шт</v>
      </c>
      <c r="E311" s="169">
        <f>'инновации+добровольчество0,369'!D430</f>
        <v>33.579000000000001</v>
      </c>
    </row>
    <row r="312" spans="1:5" x14ac:dyDescent="0.25">
      <c r="A312" s="530"/>
      <c r="B312" s="529"/>
      <c r="C312" s="111" t="str">
        <f>'инновации+добровольчество0,369'!A431</f>
        <v>гайка шестигранная</v>
      </c>
      <c r="D312" s="67" t="str">
        <f>'инновации+добровольчество0,369'!B431</f>
        <v>шт</v>
      </c>
      <c r="E312" s="169">
        <f>'инновации+добровольчество0,369'!D431</f>
        <v>33.579000000000001</v>
      </c>
    </row>
    <row r="313" spans="1:5" x14ac:dyDescent="0.25">
      <c r="A313" s="530"/>
      <c r="B313" s="529"/>
      <c r="C313" s="111" t="str">
        <f>'инновации+добровольчество0,369'!A432</f>
        <v>шайба плоская</v>
      </c>
      <c r="D313" s="67" t="str">
        <f>'инновации+добровольчество0,369'!B432</f>
        <v>шт</v>
      </c>
      <c r="E313" s="169">
        <f>'инновации+добровольчество0,369'!D432</f>
        <v>66.42</v>
      </c>
    </row>
    <row r="314" spans="1:5" x14ac:dyDescent="0.25">
      <c r="A314" s="530"/>
      <c r="B314" s="529"/>
      <c r="C314" s="111" t="str">
        <f>'инновации+добровольчество0,369'!A433</f>
        <v>сверло по металлу</v>
      </c>
      <c r="D314" s="67" t="str">
        <f>'инновации+добровольчество0,369'!B433</f>
        <v>шт</v>
      </c>
      <c r="E314" s="169">
        <f>'инновации+добровольчество0,369'!D433</f>
        <v>0.36899999999999999</v>
      </c>
    </row>
    <row r="315" spans="1:5" x14ac:dyDescent="0.25">
      <c r="A315" s="530"/>
      <c r="B315" s="529"/>
      <c r="C315" s="111" t="str">
        <f>'инновации+добровольчество0,369'!A434</f>
        <v>винт головка полусфера 5*50</v>
      </c>
      <c r="D315" s="67" t="str">
        <f>'инновации+добровольчество0,369'!B434</f>
        <v>шт</v>
      </c>
      <c r="E315" s="169">
        <f>'инновации+добровольчество0,369'!D434</f>
        <v>64.206000000000003</v>
      </c>
    </row>
    <row r="316" spans="1:5" x14ac:dyDescent="0.25">
      <c r="A316" s="530"/>
      <c r="B316" s="529"/>
      <c r="C316" s="111" t="str">
        <f>'инновации+добровольчество0,369'!A435</f>
        <v>винт головка полусфера 5*40</v>
      </c>
      <c r="D316" s="67" t="str">
        <f>'инновации+добровольчество0,369'!B435</f>
        <v>шт</v>
      </c>
      <c r="E316" s="169">
        <f>'инновации+добровольчество0,369'!D435</f>
        <v>25.460999999999999</v>
      </c>
    </row>
    <row r="317" spans="1:5" x14ac:dyDescent="0.25">
      <c r="A317" s="530"/>
      <c r="B317" s="529"/>
      <c r="C317" s="111" t="str">
        <f>'инновации+добровольчество0,369'!A436</f>
        <v>винт головка полусфера 5*40</v>
      </c>
      <c r="D317" s="67" t="str">
        <f>'инновации+добровольчество0,369'!B436</f>
        <v>шт</v>
      </c>
      <c r="E317" s="169">
        <f>'инновации+добровольчество0,369'!D436</f>
        <v>26.198999999999998</v>
      </c>
    </row>
    <row r="318" spans="1:5" x14ac:dyDescent="0.25">
      <c r="A318" s="530"/>
      <c r="B318" s="529"/>
      <c r="C318" s="111" t="str">
        <f>'инновации+добровольчество0,369'!A437</f>
        <v>сверло по металллу</v>
      </c>
      <c r="D318" s="67" t="str">
        <f>'инновации+добровольчество0,369'!B437</f>
        <v>шт</v>
      </c>
      <c r="E318" s="169">
        <f>'инновации+добровольчество0,369'!D437</f>
        <v>1.476</v>
      </c>
    </row>
    <row r="319" spans="1:5" x14ac:dyDescent="0.25">
      <c r="A319" s="530"/>
      <c r="B319" s="529"/>
      <c r="C319" s="111" t="str">
        <f>'инновации+добровольчество0,369'!A438</f>
        <v>сверло по металллу 5*86</v>
      </c>
      <c r="D319" s="67" t="str">
        <f>'инновации+добровольчество0,369'!B438</f>
        <v>шт</v>
      </c>
      <c r="E319" s="169">
        <f>'инновации+добровольчество0,369'!D438</f>
        <v>1.476</v>
      </c>
    </row>
    <row r="320" spans="1:5" x14ac:dyDescent="0.25">
      <c r="A320" s="530"/>
      <c r="B320" s="529"/>
      <c r="C320" s="111" t="str">
        <f>'инновации+добровольчество0,369'!A439</f>
        <v>петля накладная цинк</v>
      </c>
      <c r="D320" s="67" t="str">
        <f>'инновации+добровольчество0,369'!B439</f>
        <v>шт</v>
      </c>
      <c r="E320" s="169">
        <f>'инновации+добровольчество0,369'!D439</f>
        <v>0.73799999999999999</v>
      </c>
    </row>
    <row r="321" spans="1:5" x14ac:dyDescent="0.25">
      <c r="A321" s="530"/>
      <c r="B321" s="529"/>
      <c r="C321" s="111" t="str">
        <f>'инновации+добровольчество0,369'!A440</f>
        <v>гайка со стоп кольцом</v>
      </c>
      <c r="D321" s="67" t="str">
        <f>'инновации+добровольчество0,369'!B440</f>
        <v>шт</v>
      </c>
      <c r="E321" s="169">
        <f>'инновации+добровольчество0,369'!D440</f>
        <v>115.866</v>
      </c>
    </row>
    <row r="322" spans="1:5" x14ac:dyDescent="0.25">
      <c r="A322" s="530"/>
      <c r="B322" s="529"/>
      <c r="C322" s="111" t="str">
        <f>'инновации+добровольчество0,369'!A441</f>
        <v>шайба плоская</v>
      </c>
      <c r="D322" s="67" t="str">
        <f>'инновации+добровольчество0,369'!B441</f>
        <v>шт</v>
      </c>
      <c r="E322" s="169">
        <f>'инновации+добровольчество0,369'!D441</f>
        <v>231.732</v>
      </c>
    </row>
    <row r="323" spans="1:5" x14ac:dyDescent="0.25">
      <c r="A323" s="530"/>
      <c r="B323" s="529"/>
      <c r="C323" s="111" t="str">
        <f>'инновации+добровольчество0,369'!A442</f>
        <v>сердцевина в замок</v>
      </c>
      <c r="D323" s="67" t="str">
        <f>'инновации+добровольчество0,369'!B442</f>
        <v>шт</v>
      </c>
      <c r="E323" s="169">
        <f>'инновации+добровольчество0,369'!D442</f>
        <v>0.73799999999999999</v>
      </c>
    </row>
    <row r="324" spans="1:5" x14ac:dyDescent="0.25">
      <c r="A324" s="530"/>
      <c r="B324" s="529"/>
      <c r="C324" s="111" t="str">
        <f>'инновации+добровольчество0,369'!A443</f>
        <v>ограничитель напольный</v>
      </c>
      <c r="D324" s="67" t="str">
        <f>'инновации+добровольчество0,369'!B443</f>
        <v>шт</v>
      </c>
      <c r="E324" s="169">
        <f>'инновации+добровольчество0,369'!D443</f>
        <v>1.107</v>
      </c>
    </row>
    <row r="325" spans="1:5" x14ac:dyDescent="0.25">
      <c r="A325" s="530"/>
      <c r="B325" s="529"/>
      <c r="C325" s="111" t="str">
        <f>'инновации+добровольчество0,369'!A444</f>
        <v>обивка для двери эконом</v>
      </c>
      <c r="D325" s="67" t="str">
        <f>'инновации+добровольчество0,369'!B444</f>
        <v>шт</v>
      </c>
      <c r="E325" s="169">
        <f>'инновации+добровольчество0,369'!D444</f>
        <v>0.36899999999999999</v>
      </c>
    </row>
    <row r="326" spans="1:5" x14ac:dyDescent="0.25">
      <c r="A326" s="530"/>
      <c r="B326" s="529"/>
      <c r="C326" s="111" t="str">
        <f>'инновации+добровольчество0,369'!A445</f>
        <v>щетка чашечная 0,3*60</v>
      </c>
      <c r="D326" s="67" t="str">
        <f>'инновации+добровольчество0,369'!B445</f>
        <v>шт</v>
      </c>
      <c r="E326" s="169">
        <f>'инновации+добровольчество0,369'!D445</f>
        <v>1.476</v>
      </c>
    </row>
    <row r="327" spans="1:5" x14ac:dyDescent="0.25">
      <c r="A327" s="530"/>
      <c r="B327" s="529"/>
      <c r="C327" s="111" t="str">
        <f>'инновации+добровольчество0,369'!A446</f>
        <v>саморез с прессшайбой</v>
      </c>
      <c r="D327" s="67" t="str">
        <f>'инновации+добровольчество0,369'!B446</f>
        <v>шт</v>
      </c>
      <c r="E327" s="169">
        <f>'инновации+добровольчество0,369'!D446</f>
        <v>11.07</v>
      </c>
    </row>
    <row r="328" spans="1:5" x14ac:dyDescent="0.25">
      <c r="A328" s="530"/>
      <c r="B328" s="529"/>
      <c r="C328" s="111" t="str">
        <f>'инновации+добровольчество0,369'!A447</f>
        <v>звонок беспроводной</v>
      </c>
      <c r="D328" s="67" t="str">
        <f>'инновации+добровольчество0,369'!B447</f>
        <v>шт</v>
      </c>
      <c r="E328" s="169">
        <f>'инновации+добровольчество0,369'!D447</f>
        <v>0.36899999999999999</v>
      </c>
    </row>
    <row r="329" spans="1:5" x14ac:dyDescent="0.25">
      <c r="A329" s="530"/>
      <c r="B329" s="529"/>
      <c r="C329" s="111" t="str">
        <f>'инновации+добровольчество0,369'!A448</f>
        <v>кисть акор 75*12</v>
      </c>
      <c r="D329" s="67" t="str">
        <f>'инновации+добровольчество0,369'!B448</f>
        <v>шт</v>
      </c>
      <c r="E329" s="169">
        <f>'инновации+добровольчество0,369'!D448</f>
        <v>0.36899999999999999</v>
      </c>
    </row>
    <row r="330" spans="1:5" x14ac:dyDescent="0.25">
      <c r="A330" s="530"/>
      <c r="B330" s="529"/>
      <c r="C330" s="111" t="str">
        <f>'инновации+добровольчество0,369'!A449</f>
        <v>кисть акор 50*10</v>
      </c>
      <c r="D330" s="67" t="str">
        <f>'инновации+добровольчество0,369'!B449</f>
        <v>шт</v>
      </c>
      <c r="E330" s="169">
        <f>'инновации+добровольчество0,369'!D449</f>
        <v>0.36899999999999999</v>
      </c>
    </row>
    <row r="331" spans="1:5" x14ac:dyDescent="0.25">
      <c r="A331" s="530"/>
      <c r="B331" s="529"/>
      <c r="C331" s="111" t="str">
        <f>'инновации+добровольчество0,369'!A450</f>
        <v>клей момент-монтаж</v>
      </c>
      <c r="D331" s="67" t="str">
        <f>'инновации+добровольчество0,369'!B450</f>
        <v>шт</v>
      </c>
      <c r="E331" s="169">
        <f>'инновации+добровольчество0,369'!D450</f>
        <v>6.2729999999999997</v>
      </c>
    </row>
    <row r="332" spans="1:5" x14ac:dyDescent="0.25">
      <c r="A332" s="530"/>
      <c r="B332" s="529"/>
      <c r="C332" s="111" t="str">
        <f>'инновации+добровольчество0,369'!A451</f>
        <v>эмаль-аэрозоль</v>
      </c>
      <c r="D332" s="67" t="str">
        <f>'инновации+добровольчество0,369'!B451</f>
        <v>шт</v>
      </c>
      <c r="E332" s="169">
        <f>'инновации+добровольчество0,369'!D451</f>
        <v>2.5830000000000002</v>
      </c>
    </row>
    <row r="333" spans="1:5" x14ac:dyDescent="0.25">
      <c r="A333" s="530"/>
      <c r="B333" s="529"/>
      <c r="C333" s="111" t="str">
        <f>'инновации+добровольчество0,369'!A452</f>
        <v>аквалазурь</v>
      </c>
      <c r="D333" s="67" t="str">
        <f>'инновации+добровольчество0,369'!B452</f>
        <v>шт</v>
      </c>
      <c r="E333" s="169">
        <f>'инновации+добровольчество0,369'!D452</f>
        <v>0.36899999999999999</v>
      </c>
    </row>
    <row r="334" spans="1:5" x14ac:dyDescent="0.25">
      <c r="A334" s="530"/>
      <c r="B334" s="529"/>
      <c r="C334" s="111" t="str">
        <f>'инновации+добровольчество0,369'!A453</f>
        <v>кисть акор 50*14</v>
      </c>
      <c r="D334" s="67" t="str">
        <f>'инновации+добровольчество0,369'!B453</f>
        <v>шт</v>
      </c>
      <c r="E334" s="169">
        <f>'инновации+добровольчество0,369'!D453</f>
        <v>0.36899999999999999</v>
      </c>
    </row>
    <row r="335" spans="1:5" x14ac:dyDescent="0.25">
      <c r="A335" s="530"/>
      <c r="B335" s="529"/>
      <c r="C335" s="111" t="str">
        <f>'инновации+добровольчество0,369'!A454</f>
        <v>кисть акор 25*10</v>
      </c>
      <c r="D335" s="67" t="str">
        <f>'инновации+добровольчество0,369'!B454</f>
        <v>шт</v>
      </c>
      <c r="E335" s="169">
        <f>'инновации+добровольчество0,369'!D454</f>
        <v>0.36899999999999999</v>
      </c>
    </row>
    <row r="336" spans="1:5" x14ac:dyDescent="0.25">
      <c r="A336" s="530"/>
      <c r="B336" s="529"/>
      <c r="C336" s="111" t="str">
        <f>'инновации+добровольчество0,369'!A455</f>
        <v>шуруп кольцо</v>
      </c>
      <c r="D336" s="67" t="str">
        <f>'инновации+добровольчество0,369'!B455</f>
        <v>шт</v>
      </c>
      <c r="E336" s="169">
        <f>'инновации+добровольчество0,369'!D455</f>
        <v>0.73799999999999999</v>
      </c>
    </row>
    <row r="337" spans="1:5" x14ac:dyDescent="0.25">
      <c r="A337" s="530"/>
      <c r="B337" s="529"/>
      <c r="C337" s="111" t="str">
        <f>'инновации+добровольчество0,369'!A456</f>
        <v>болт шестигранник</v>
      </c>
      <c r="D337" s="67" t="str">
        <f>'инновации+добровольчество0,369'!B456</f>
        <v>шт</v>
      </c>
      <c r="E337" s="169">
        <f>'инновации+добровольчество0,369'!D456</f>
        <v>3.69</v>
      </c>
    </row>
    <row r="338" spans="1:5" x14ac:dyDescent="0.25">
      <c r="A338" s="530"/>
      <c r="B338" s="529"/>
      <c r="C338" s="111" t="str">
        <f>'инновации+добровольчество0,369'!A457</f>
        <v>клей монтажный</v>
      </c>
      <c r="D338" s="67" t="str">
        <f>'инновации+добровольчество0,369'!B457</f>
        <v>шт</v>
      </c>
      <c r="E338" s="169">
        <f>'инновации+добровольчество0,369'!D457</f>
        <v>2.214</v>
      </c>
    </row>
    <row r="339" spans="1:5" x14ac:dyDescent="0.25">
      <c r="A339" s="530"/>
      <c r="B339" s="529"/>
      <c r="C339" s="111" t="str">
        <f>'инновации+добровольчество0,369'!A458</f>
        <v>лопата снеговая</v>
      </c>
      <c r="D339" s="67" t="str">
        <f>'инновации+добровольчество0,369'!B458</f>
        <v>шт</v>
      </c>
      <c r="E339" s="169">
        <f>'инновации+добровольчество0,369'!D458</f>
        <v>0.36899999999999999</v>
      </c>
    </row>
    <row r="340" spans="1:5" x14ac:dyDescent="0.25">
      <c r="A340" s="530"/>
      <c r="B340" s="529"/>
      <c r="C340" s="111" t="str">
        <f>'инновации+добровольчество0,369'!A459</f>
        <v>универсальный колер</v>
      </c>
      <c r="D340" s="67" t="str">
        <f>'инновации+добровольчество0,369'!B459</f>
        <v>шт</v>
      </c>
      <c r="E340" s="169">
        <f>'инновации+добровольчество0,369'!D459</f>
        <v>1.107</v>
      </c>
    </row>
    <row r="341" spans="1:5" x14ac:dyDescent="0.25">
      <c r="A341" s="530"/>
      <c r="B341" s="529"/>
      <c r="C341" s="111" t="str">
        <f>'инновации+добровольчество0,369'!A460</f>
        <v>паста колеровочная</v>
      </c>
      <c r="D341" s="67" t="str">
        <f>'инновации+добровольчество0,369'!B460</f>
        <v>шт</v>
      </c>
      <c r="E341" s="169">
        <f>'инновации+добровольчество0,369'!D460</f>
        <v>0.36899999999999999</v>
      </c>
    </row>
    <row r="342" spans="1:5" x14ac:dyDescent="0.25">
      <c r="A342" s="530"/>
      <c r="B342" s="529"/>
      <c r="C342" s="111" t="str">
        <f>'инновации+добровольчество0,369'!A461</f>
        <v>клей момент-монтаж</v>
      </c>
      <c r="D342" s="67" t="str">
        <f>'инновации+добровольчество0,369'!B461</f>
        <v>шт</v>
      </c>
      <c r="E342" s="169">
        <f>'инновации+добровольчество0,369'!D461</f>
        <v>0.73799999999999999</v>
      </c>
    </row>
    <row r="343" spans="1:5" x14ac:dyDescent="0.25">
      <c r="A343" s="530"/>
      <c r="B343" s="529"/>
      <c r="C343" s="111" t="str">
        <f>'инновации+добровольчество0,369'!A462</f>
        <v>ГСМ УАЗ (Масло двигатель)</v>
      </c>
      <c r="D343" s="67" t="str">
        <f>'инновации+добровольчество0,369'!B462</f>
        <v>шт</v>
      </c>
      <c r="E343" s="169">
        <f>'инновации+добровольчество0,369'!D462</f>
        <v>0</v>
      </c>
    </row>
    <row r="344" spans="1:5" x14ac:dyDescent="0.25">
      <c r="A344" s="530"/>
      <c r="B344" s="529"/>
      <c r="C344" s="111" t="str">
        <f>'инновации+добровольчество0,369'!A463</f>
        <v>Чернила Canon 135 мл черные</v>
      </c>
      <c r="D344" s="67" t="str">
        <f>'инновации+добровольчество0,369'!B463</f>
        <v>шт</v>
      </c>
      <c r="E344" s="169">
        <f>'инновации+добровольчество0,369'!D463</f>
        <v>1.107</v>
      </c>
    </row>
    <row r="345" spans="1:5" x14ac:dyDescent="0.25">
      <c r="A345" s="530"/>
      <c r="B345" s="529"/>
      <c r="C345" s="111" t="str">
        <f>'инновации+добровольчество0,369'!A464</f>
        <v>Чернила Canon 70 мл голубые</v>
      </c>
      <c r="D345" s="67" t="str">
        <f>'инновации+добровольчество0,369'!B464</f>
        <v>шт</v>
      </c>
      <c r="E345" s="169">
        <f>'инновации+добровольчество0,369'!D464</f>
        <v>1.107</v>
      </c>
    </row>
    <row r="346" spans="1:5" x14ac:dyDescent="0.25">
      <c r="A346" s="530"/>
      <c r="B346" s="529"/>
      <c r="C346" s="111" t="str">
        <f>'инновации+добровольчество0,369'!A465</f>
        <v>Чернила Canon 70 мл урпур</v>
      </c>
      <c r="D346" s="67" t="str">
        <f>'инновации+добровольчество0,369'!B465</f>
        <v>шт</v>
      </c>
      <c r="E346" s="169">
        <f>'инновации+добровольчество0,369'!D465</f>
        <v>1.107</v>
      </c>
    </row>
    <row r="347" spans="1:5" x14ac:dyDescent="0.25">
      <c r="A347" s="530"/>
      <c r="B347" s="529"/>
      <c r="C347" s="111" t="str">
        <f>'инновации+добровольчество0,369'!A466</f>
        <v>Чернила Canon 70 мл желтые</v>
      </c>
      <c r="D347" s="67" t="str">
        <f>'инновации+добровольчество0,369'!B466</f>
        <v>шт</v>
      </c>
      <c r="E347" s="169">
        <f>'инновации+добровольчество0,369'!D466</f>
        <v>1.107</v>
      </c>
    </row>
    <row r="348" spans="1:5" x14ac:dyDescent="0.25">
      <c r="A348" s="530"/>
      <c r="B348" s="529"/>
      <c r="C348" s="111" t="str">
        <f>'инновации+добровольчество0,369'!A467</f>
        <v>батарейка ААА</v>
      </c>
      <c r="D348" s="67" t="str">
        <f>'инновации+добровольчество0,369'!B467</f>
        <v>шт</v>
      </c>
      <c r="E348" s="169">
        <f>'инновации+добровольчество0,369'!D467</f>
        <v>36.9</v>
      </c>
    </row>
    <row r="349" spans="1:5" x14ac:dyDescent="0.25">
      <c r="A349" s="530"/>
      <c r="B349" s="529"/>
      <c r="C349" s="111" t="str">
        <f>'инновации+добровольчество0,369'!A468</f>
        <v>батарейка АА</v>
      </c>
      <c r="D349" s="67" t="str">
        <f>'инновации+добровольчество0,369'!B468</f>
        <v>шт</v>
      </c>
      <c r="E349" s="169">
        <f>'инновации+добровольчество0,369'!D468</f>
        <v>36.9</v>
      </c>
    </row>
    <row r="350" spans="1:5" x14ac:dyDescent="0.25">
      <c r="A350" s="530"/>
      <c r="B350" s="529"/>
      <c r="C350" s="111" t="str">
        <f>'инновации+добровольчество0,369'!A469</f>
        <v>ГСМ Бензин</v>
      </c>
      <c r="D350" s="67" t="str">
        <f>'инновации+добровольчество0,369'!B469</f>
        <v>шт</v>
      </c>
      <c r="E350" s="169">
        <f>'инновации+добровольчество0,369'!D469</f>
        <v>738</v>
      </c>
    </row>
    <row r="351" spans="1:5" x14ac:dyDescent="0.25">
      <c r="A351" s="530"/>
      <c r="B351" s="529"/>
      <c r="C351" s="111" t="str">
        <f>'инновации+добровольчество0,369'!A470</f>
        <v>ГСМ Бензин</v>
      </c>
      <c r="D351" s="67" t="str">
        <f>'инновации+добровольчество0,369'!B470</f>
        <v>шт</v>
      </c>
      <c r="E351" s="169">
        <f>'инновации+добровольчество0,369'!D470</f>
        <v>36.9</v>
      </c>
    </row>
    <row r="352" spans="1:5" x14ac:dyDescent="0.25">
      <c r="A352" s="530"/>
      <c r="B352" s="529"/>
      <c r="C352" s="111" t="str">
        <f>'инновации+добровольчество0,369'!A471</f>
        <v>Профиль металлический</v>
      </c>
      <c r="D352" s="67" t="str">
        <f>'инновации+добровольчество0,369'!B471</f>
        <v>шт</v>
      </c>
      <c r="E352" s="169">
        <f>'инновации+добровольчество0,369'!D471</f>
        <v>1.845</v>
      </c>
    </row>
    <row r="353" spans="1:5" x14ac:dyDescent="0.25">
      <c r="A353" s="530"/>
      <c r="B353" s="529"/>
      <c r="C353" s="111" t="str">
        <f>'инновации+добровольчество0,369'!A472</f>
        <v>Цемент</v>
      </c>
      <c r="D353" s="67" t="str">
        <f>'инновации+добровольчество0,369'!B472</f>
        <v>шт</v>
      </c>
      <c r="E353" s="169">
        <f>'инновации+добровольчество0,369'!D472</f>
        <v>0.73799999999999999</v>
      </c>
    </row>
    <row r="354" spans="1:5" x14ac:dyDescent="0.25">
      <c r="A354" s="530"/>
      <c r="B354" s="529"/>
      <c r="C354" s="111" t="str">
        <f>'инновации+добровольчество0,369'!A473</f>
        <v>Саморезы</v>
      </c>
      <c r="D354" s="67" t="str">
        <f>'инновации+добровольчество0,369'!B473</f>
        <v>шт</v>
      </c>
      <c r="E354" s="169">
        <f>'инновации+добровольчество0,369'!D473</f>
        <v>0.36899999999999999</v>
      </c>
    </row>
    <row r="355" spans="1:5" x14ac:dyDescent="0.25">
      <c r="A355" s="530"/>
      <c r="B355" s="529"/>
      <c r="C355" s="111" t="str">
        <f>'инновации+добровольчество0,369'!A474</f>
        <v>Фанера 10 мм</v>
      </c>
      <c r="D355" s="67" t="str">
        <f>'инновации+добровольчество0,369'!B474</f>
        <v>шт</v>
      </c>
      <c r="E355" s="169">
        <f>'инновации+добровольчество0,369'!D474</f>
        <v>2.214</v>
      </c>
    </row>
    <row r="356" spans="1:5" x14ac:dyDescent="0.25">
      <c r="A356" s="530"/>
      <c r="B356" s="529"/>
      <c r="C356" s="111" t="str">
        <f>'инновации+добровольчество0,369'!A475</f>
        <v>Перчатки, мешки</v>
      </c>
      <c r="D356" s="67" t="str">
        <f>'инновации+добровольчество0,369'!B475</f>
        <v>шт</v>
      </c>
      <c r="E356" s="169">
        <f>'инновации+добровольчество0,369'!D475</f>
        <v>0.36899999999999999</v>
      </c>
    </row>
    <row r="357" spans="1:5" x14ac:dyDescent="0.25">
      <c r="A357" s="530"/>
      <c r="B357" s="529"/>
      <c r="C357" s="111" t="str">
        <f>'инновации+добровольчество0,369'!A476</f>
        <v>Краска акриловая 10 л</v>
      </c>
      <c r="D357" s="67" t="str">
        <f>'инновации+добровольчество0,369'!B476</f>
        <v>шт</v>
      </c>
      <c r="E357" s="169">
        <f>'инновации+добровольчество0,369'!D476</f>
        <v>0.73799999999999999</v>
      </c>
    </row>
    <row r="358" spans="1:5" x14ac:dyDescent="0.25">
      <c r="A358" s="530"/>
      <c r="B358" s="529"/>
      <c r="C358" s="111" t="str">
        <f>'инновации+добровольчество0,369'!A477</f>
        <v>Колер для акриловой краски в ассортименте</v>
      </c>
      <c r="D358" s="67" t="str">
        <f>'инновации+добровольчество0,369'!B477</f>
        <v>шт</v>
      </c>
      <c r="E358" s="169">
        <f>'инновации+добровольчество0,369'!D477</f>
        <v>3.69</v>
      </c>
    </row>
    <row r="359" spans="1:5" x14ac:dyDescent="0.25">
      <c r="A359" s="530"/>
      <c r="B359" s="529"/>
      <c r="C359" s="111" t="str">
        <f>'инновации+добровольчество0,369'!A478</f>
        <v>Сверла, лезвия для лобзика</v>
      </c>
      <c r="D359" s="67" t="str">
        <f>'инновации+добровольчество0,369'!B478</f>
        <v>шт</v>
      </c>
      <c r="E359" s="169">
        <f>'инновации+добровольчество0,369'!D478</f>
        <v>0.36899999999999999</v>
      </c>
    </row>
    <row r="360" spans="1:5" x14ac:dyDescent="0.25">
      <c r="A360" s="530"/>
      <c r="B360" s="529"/>
      <c r="C360" s="111" t="str">
        <f>'инновации+добровольчество0,369'!A479</f>
        <v>Кабель бабина витая пара UTP, 4 пары Cat.5e outdoor (305 м)</v>
      </c>
      <c r="D360" s="67" t="str">
        <f>'инновации+добровольчество0,369'!B479</f>
        <v>шт</v>
      </c>
      <c r="E360" s="169">
        <f>'инновации+добровольчество0,369'!D479</f>
        <v>0.73799999999999999</v>
      </c>
    </row>
    <row r="361" spans="1:5" x14ac:dyDescent="0.25">
      <c r="A361" s="530"/>
      <c r="B361" s="529"/>
      <c r="C361" s="111" t="str">
        <f>'инновации+добровольчество0,369'!A480</f>
        <v>кабель витая пара</v>
      </c>
      <c r="D361" s="67" t="str">
        <f>'инновации+добровольчество0,369'!B480</f>
        <v>шт</v>
      </c>
      <c r="E361" s="169">
        <f>'инновации+добровольчество0,369'!D480</f>
        <v>0.73799999999999999</v>
      </c>
    </row>
    <row r="362" spans="1:5" x14ac:dyDescent="0.25">
      <c r="A362" s="530"/>
      <c r="B362" s="529"/>
      <c r="C362" s="111" t="str">
        <f>'инновации+добровольчество0,369'!A481</f>
        <v>Коннектор</v>
      </c>
      <c r="D362" s="67" t="str">
        <f>'инновации+добровольчество0,369'!B481</f>
        <v>шт</v>
      </c>
      <c r="E362" s="169">
        <f>'инновации+добровольчество0,369'!D481</f>
        <v>0.36899999999999999</v>
      </c>
    </row>
    <row r="363" spans="1:5" x14ac:dyDescent="0.25">
      <c r="A363" s="530"/>
      <c r="B363" s="529"/>
      <c r="C363" s="111" t="str">
        <f>'инновации+добровольчество0,369'!A482</f>
        <v xml:space="preserve">средства индивидуальной защиты и дезинфекционные средства </v>
      </c>
      <c r="D363" s="67" t="str">
        <f>'инновации+добровольчество0,369'!B482</f>
        <v>шт</v>
      </c>
      <c r="E363" s="169">
        <f>'инновации+добровольчество0,369'!D487</f>
        <v>3.3209999999999997</v>
      </c>
    </row>
    <row r="364" spans="1:5" x14ac:dyDescent="0.25">
      <c r="A364" s="530"/>
      <c r="B364" s="529"/>
      <c r="C364" s="111" t="str">
        <f>'инновации+добровольчество0,369'!A483</f>
        <v>Гамак</v>
      </c>
      <c r="D364" s="67" t="str">
        <f>'инновации+добровольчество0,369'!B483</f>
        <v>шт</v>
      </c>
      <c r="E364" s="169">
        <f>'инновации+добровольчество0,369'!D483</f>
        <v>2.16</v>
      </c>
    </row>
    <row r="365" spans="1:5" x14ac:dyDescent="0.25">
      <c r="A365" s="530"/>
      <c r="B365" s="529"/>
      <c r="C365" s="111" t="str">
        <f>'инновации+добровольчество0,369'!A484</f>
        <v>Будо-Мат EVA «Ласточкин Хвост» м2, толщина 2 см</v>
      </c>
      <c r="D365" s="67" t="str">
        <f>'инновации+добровольчество0,369'!B484</f>
        <v>шт</v>
      </c>
      <c r="E365" s="169">
        <f>'инновации+добровольчество0,369'!D484</f>
        <v>14.76</v>
      </c>
    </row>
    <row r="366" spans="1:5" x14ac:dyDescent="0.25">
      <c r="A366" s="530"/>
      <c r="B366" s="529"/>
      <c r="C366" s="111" t="str">
        <f>'инновации+добровольчество0,369'!A485</f>
        <v>Карабины металл</v>
      </c>
      <c r="D366" s="67" t="str">
        <f>'инновации+добровольчество0,369'!B485</f>
        <v>шт</v>
      </c>
      <c r="E366" s="169">
        <f>'инновации+добровольчество0,369'!D485</f>
        <v>11.808</v>
      </c>
    </row>
    <row r="367" spans="1:5" ht="17.25" customHeight="1" x14ac:dyDescent="0.25">
      <c r="A367" s="530"/>
      <c r="B367" s="529"/>
      <c r="C367" s="111" t="str">
        <f>'инновации+добровольчество0,369'!A486</f>
        <v>Краска ВДК 4 л</v>
      </c>
      <c r="D367" s="67" t="str">
        <f>'инновации+добровольчество0,369'!B486</f>
        <v>шт</v>
      </c>
      <c r="E367" s="169">
        <f>'инновации+добровольчество0,369'!D486</f>
        <v>2.214</v>
      </c>
    </row>
    <row r="368" spans="1:5" x14ac:dyDescent="0.25">
      <c r="A368" s="530"/>
      <c r="B368" s="529"/>
      <c r="C368" s="111" t="str">
        <f>'инновации+добровольчество0,369'!A487</f>
        <v>Коллер для краски ВДК</v>
      </c>
      <c r="D368" s="67" t="str">
        <f>'инновации+добровольчество0,369'!B487</f>
        <v>шт</v>
      </c>
      <c r="E368" s="169">
        <f>'инновации+добровольчество0,369'!D487</f>
        <v>3.3209999999999997</v>
      </c>
    </row>
    <row r="369" spans="1:5" hidden="1" x14ac:dyDescent="0.25">
      <c r="A369" s="530"/>
      <c r="B369" s="529"/>
      <c r="C369" s="111">
        <f>'инновации+добровольчество0,369'!A488</f>
        <v>0</v>
      </c>
      <c r="D369" s="67">
        <f>'инновации+добровольчество0,369'!B493</f>
        <v>0</v>
      </c>
      <c r="E369" s="169">
        <f>'инновации+добровольчество0,369'!D493</f>
        <v>0</v>
      </c>
    </row>
    <row r="370" spans="1:5" hidden="1" x14ac:dyDescent="0.25">
      <c r="A370" s="530"/>
      <c r="B370" s="529"/>
      <c r="C370" s="111">
        <f>'инновации+добровольчество0,369'!A489</f>
        <v>0</v>
      </c>
      <c r="D370" s="67">
        <f>'инновации+добровольчество0,369'!B494</f>
        <v>0</v>
      </c>
      <c r="E370" s="169">
        <f>'инновации+добровольчество0,369'!D494</f>
        <v>0</v>
      </c>
    </row>
    <row r="371" spans="1:5" hidden="1" x14ac:dyDescent="0.25">
      <c r="A371" s="530"/>
      <c r="B371" s="529"/>
      <c r="C371" s="111">
        <f>'инновации+добровольчество0,369'!A490</f>
        <v>0</v>
      </c>
      <c r="D371" s="67">
        <f>'инновации+добровольчество0,369'!B495</f>
        <v>0</v>
      </c>
      <c r="E371" s="169">
        <f>'инновации+добровольчество0,369'!D495</f>
        <v>0</v>
      </c>
    </row>
    <row r="372" spans="1:5" hidden="1" x14ac:dyDescent="0.25">
      <c r="A372" s="530"/>
      <c r="B372" s="529"/>
      <c r="C372" s="111">
        <f>'инновации+добровольчество0,369'!A491</f>
        <v>0</v>
      </c>
      <c r="D372" s="67">
        <f>'инновации+добровольчество0,369'!B496</f>
        <v>0</v>
      </c>
      <c r="E372" s="169">
        <f>'инновации+добровольчество0,369'!D496</f>
        <v>0</v>
      </c>
    </row>
    <row r="373" spans="1:5" hidden="1" x14ac:dyDescent="0.25">
      <c r="A373" s="530"/>
      <c r="B373" s="529"/>
      <c r="C373" s="111">
        <f>'инновации+добровольчество0,369'!A492</f>
        <v>0</v>
      </c>
      <c r="D373" s="67">
        <f>'инновации+добровольчество0,369'!B497</f>
        <v>0</v>
      </c>
      <c r="E373" s="169">
        <f>'инновации+добровольчество0,369'!D497</f>
        <v>0</v>
      </c>
    </row>
    <row r="374" spans="1:5" hidden="1" x14ac:dyDescent="0.25">
      <c r="A374" s="530"/>
      <c r="B374" s="529"/>
      <c r="C374" s="111">
        <f>'инновации+добровольчество0,369'!A493</f>
        <v>0</v>
      </c>
      <c r="D374" s="67">
        <f>'инновации+добровольчество0,369'!B498</f>
        <v>0</v>
      </c>
      <c r="E374" s="169">
        <f>'инновации+добровольчество0,369'!D498</f>
        <v>0</v>
      </c>
    </row>
    <row r="375" spans="1:5" hidden="1" x14ac:dyDescent="0.25">
      <c r="A375" s="530"/>
      <c r="B375" s="529"/>
      <c r="C375" s="111">
        <f>'инновации+добровольчество0,369'!A494</f>
        <v>0</v>
      </c>
      <c r="D375" s="67">
        <f>'инновации+добровольчество0,369'!B499</f>
        <v>0</v>
      </c>
      <c r="E375" s="169">
        <f>'инновации+добровольчество0,369'!D499</f>
        <v>0</v>
      </c>
    </row>
    <row r="376" spans="1:5" hidden="1" x14ac:dyDescent="0.25">
      <c r="A376" s="530"/>
      <c r="B376" s="529"/>
      <c r="C376" s="111">
        <f>'инновации+добровольчество0,369'!A495</f>
        <v>0</v>
      </c>
      <c r="D376" s="67">
        <f>'инновации+добровольчество0,369'!B500</f>
        <v>0</v>
      </c>
      <c r="E376" s="169">
        <f>'инновации+добровольчество0,369'!D500</f>
        <v>0</v>
      </c>
    </row>
    <row r="377" spans="1:5" hidden="1" x14ac:dyDescent="0.25">
      <c r="A377" s="530"/>
      <c r="B377" s="529"/>
      <c r="C377" s="111">
        <f>'инновации+добровольчество0,369'!A496</f>
        <v>0</v>
      </c>
      <c r="D377" s="67">
        <f>'инновации+добровольчество0,369'!B501</f>
        <v>0</v>
      </c>
      <c r="E377" s="169">
        <f>'инновации+добровольчество0,369'!D501</f>
        <v>0</v>
      </c>
    </row>
    <row r="378" spans="1:5" hidden="1" x14ac:dyDescent="0.25">
      <c r="A378" s="530"/>
      <c r="B378" s="529"/>
      <c r="C378" s="111">
        <f>'инновации+добровольчество0,369'!A497</f>
        <v>0</v>
      </c>
      <c r="D378" s="67">
        <f>'инновации+добровольчество0,369'!B502</f>
        <v>0</v>
      </c>
      <c r="E378" s="169">
        <f>'инновации+добровольчество0,369'!D502</f>
        <v>0</v>
      </c>
    </row>
    <row r="379" spans="1:5" hidden="1" x14ac:dyDescent="0.25">
      <c r="A379" s="530"/>
      <c r="B379" s="529"/>
      <c r="C379" s="111">
        <f>'инновации+добровольчество0,369'!A498</f>
        <v>0</v>
      </c>
      <c r="D379" s="67">
        <f>'инновации+добровольчество0,369'!B503</f>
        <v>0</v>
      </c>
      <c r="E379" s="169">
        <f>'инновации+добровольчество0,369'!D503</f>
        <v>0</v>
      </c>
    </row>
    <row r="380" spans="1:5" hidden="1" x14ac:dyDescent="0.25">
      <c r="A380" s="530"/>
      <c r="B380" s="529"/>
      <c r="C380" s="111">
        <f>'инновации+добровольчество0,369'!A499</f>
        <v>0</v>
      </c>
      <c r="D380" s="67">
        <f>'инновации+добровольчество0,369'!B504</f>
        <v>0</v>
      </c>
      <c r="E380" s="169">
        <f>'инновации+добровольчество0,369'!D504</f>
        <v>0</v>
      </c>
    </row>
    <row r="381" spans="1:5" hidden="1" x14ac:dyDescent="0.25">
      <c r="A381" s="530"/>
      <c r="B381" s="529"/>
      <c r="C381" s="111">
        <f>'инновации+добровольчество0,369'!A500</f>
        <v>0</v>
      </c>
      <c r="D381" s="67">
        <f>'инновации+добровольчество0,369'!B505</f>
        <v>0</v>
      </c>
      <c r="E381" s="169">
        <f>'инновации+добровольчество0,369'!D505</f>
        <v>0</v>
      </c>
    </row>
    <row r="382" spans="1:5" hidden="1" x14ac:dyDescent="0.25">
      <c r="A382" s="530"/>
      <c r="B382" s="529"/>
      <c r="C382" s="111">
        <f>'инновации+добровольчество0,369'!A501</f>
        <v>0</v>
      </c>
      <c r="D382" s="67">
        <f>'инновации+добровольчество0,369'!B506</f>
        <v>0</v>
      </c>
      <c r="E382" s="169">
        <f>'инновации+добровольчество0,369'!D506</f>
        <v>0</v>
      </c>
    </row>
    <row r="383" spans="1:5" hidden="1" x14ac:dyDescent="0.25">
      <c r="C383" s="111">
        <f>'инновации+добровольчество0,369'!A502</f>
        <v>0</v>
      </c>
    </row>
    <row r="384" spans="1:5" hidden="1" x14ac:dyDescent="0.25">
      <c r="C384" s="111">
        <f>'инновации+добровольчество0,369'!A503</f>
        <v>0</v>
      </c>
    </row>
    <row r="385" spans="3:3" hidden="1" x14ac:dyDescent="0.25">
      <c r="C385" s="111">
        <f>'инновации+добровольчество0,369'!A504</f>
        <v>0</v>
      </c>
    </row>
    <row r="386" spans="3:3" hidden="1" x14ac:dyDescent="0.25">
      <c r="C386" s="111">
        <f>'инновации+добровольчество0,369'!A505</f>
        <v>0</v>
      </c>
    </row>
    <row r="387" spans="3:3" hidden="1" x14ac:dyDescent="0.25">
      <c r="C387" s="111">
        <f>'инновации+добровольчество0,369'!A506</f>
        <v>0</v>
      </c>
    </row>
    <row r="388" spans="3:3" hidden="1" x14ac:dyDescent="0.25">
      <c r="C388" s="111">
        <f>'инновации+добровольчество0,369'!A507</f>
        <v>0</v>
      </c>
    </row>
    <row r="389" spans="3:3" hidden="1" x14ac:dyDescent="0.25">
      <c r="C389" s="111">
        <f>'инновации+добровольчество0,369'!A508</f>
        <v>0</v>
      </c>
    </row>
    <row r="390" spans="3:3" hidden="1" x14ac:dyDescent="0.25">
      <c r="C390" s="111">
        <f>'инновации+добровольчество0,369'!A509</f>
        <v>0</v>
      </c>
    </row>
    <row r="391" spans="3:3" hidden="1" x14ac:dyDescent="0.25">
      <c r="C391" s="111">
        <f>'инновации+добровольчество0,369'!A510</f>
        <v>0</v>
      </c>
    </row>
    <row r="392" spans="3:3" hidden="1" x14ac:dyDescent="0.25">
      <c r="C392" s="111">
        <f>'инновации+добровольчество0,369'!A511</f>
        <v>0</v>
      </c>
    </row>
    <row r="393" spans="3:3" hidden="1" x14ac:dyDescent="0.25">
      <c r="C393" s="111">
        <f>'инновации+добровольчество0,369'!A512</f>
        <v>0</v>
      </c>
    </row>
    <row r="394" spans="3:3" hidden="1" x14ac:dyDescent="0.25">
      <c r="C394" s="111">
        <f>'инновации+добровольчество0,369'!A513</f>
        <v>0</v>
      </c>
    </row>
    <row r="395" spans="3:3" hidden="1" x14ac:dyDescent="0.25">
      <c r="C395" s="111">
        <f>'инновации+добровольчество0,369'!A514</f>
        <v>0</v>
      </c>
    </row>
    <row r="396" spans="3:3" hidden="1" x14ac:dyDescent="0.25">
      <c r="C396" s="111">
        <f>'инновации+добровольчество0,369'!A515</f>
        <v>0</v>
      </c>
    </row>
    <row r="397" spans="3:3" hidden="1" x14ac:dyDescent="0.25">
      <c r="C397" s="111">
        <f>'инновации+добровольчество0,369'!A516</f>
        <v>0</v>
      </c>
    </row>
    <row r="398" spans="3:3" hidden="1" x14ac:dyDescent="0.25">
      <c r="C398" s="111">
        <f>'инновации+добровольчество0,369'!A517</f>
        <v>0</v>
      </c>
    </row>
    <row r="399" spans="3:3" hidden="1" x14ac:dyDescent="0.25">
      <c r="C399" s="111">
        <f>'инновации+добровольчество0,369'!A518</f>
        <v>0</v>
      </c>
    </row>
    <row r="400" spans="3:3" hidden="1" x14ac:dyDescent="0.25">
      <c r="C400" s="111">
        <f>'инновации+добровольчество0,369'!A519</f>
        <v>0</v>
      </c>
    </row>
    <row r="401" spans="3:3" hidden="1" x14ac:dyDescent="0.25">
      <c r="C401" s="111">
        <f>'инновации+добровольчество0,369'!A520</f>
        <v>0</v>
      </c>
    </row>
    <row r="402" spans="3:3" hidden="1" x14ac:dyDescent="0.25">
      <c r="C402" s="111">
        <f>'инновации+добровольчество0,369'!A521</f>
        <v>0</v>
      </c>
    </row>
    <row r="403" spans="3:3" hidden="1" x14ac:dyDescent="0.25">
      <c r="C403" s="111">
        <f>'инновации+добровольчество0,369'!A522</f>
        <v>0</v>
      </c>
    </row>
    <row r="404" spans="3:3" hidden="1" x14ac:dyDescent="0.25">
      <c r="C404" s="111">
        <f>'инновации+добровольчество0,369'!A523</f>
        <v>0</v>
      </c>
    </row>
    <row r="405" spans="3:3" hidden="1" x14ac:dyDescent="0.25">
      <c r="C405" s="111">
        <f>'инновации+добровольчество0,369'!A524</f>
        <v>0</v>
      </c>
    </row>
    <row r="406" spans="3:3" hidden="1" x14ac:dyDescent="0.25">
      <c r="C406" s="111">
        <f>'инновации+добровольчество0,369'!A525</f>
        <v>0</v>
      </c>
    </row>
    <row r="407" spans="3:3" hidden="1" x14ac:dyDescent="0.25">
      <c r="C407" s="111">
        <f>'инновации+добровольчество0,369'!A526</f>
        <v>0</v>
      </c>
    </row>
    <row r="408" spans="3:3" hidden="1" x14ac:dyDescent="0.25">
      <c r="C408" s="111">
        <f>'инновации+добровольчество0,369'!A527</f>
        <v>0</v>
      </c>
    </row>
    <row r="409" spans="3:3" hidden="1" x14ac:dyDescent="0.25">
      <c r="C409" s="111">
        <f>'инновации+добровольчество0,369'!A528</f>
        <v>0</v>
      </c>
    </row>
    <row r="410" spans="3:3" hidden="1" x14ac:dyDescent="0.25">
      <c r="C410" s="111">
        <f>'инновации+добровольчество0,369'!A529</f>
        <v>0</v>
      </c>
    </row>
    <row r="411" spans="3:3" hidden="1" x14ac:dyDescent="0.25">
      <c r="C411" s="111">
        <f>'инновации+добровольчество0,369'!A530</f>
        <v>0</v>
      </c>
    </row>
    <row r="412" spans="3:3" hidden="1" x14ac:dyDescent="0.25">
      <c r="C412" s="111">
        <f>'инновации+добровольчество0,369'!A531</f>
        <v>0</v>
      </c>
    </row>
    <row r="413" spans="3:3" hidden="1" x14ac:dyDescent="0.25">
      <c r="C413" s="111">
        <f>'инновации+добровольчество0,369'!A532</f>
        <v>0</v>
      </c>
    </row>
    <row r="414" spans="3:3" hidden="1" x14ac:dyDescent="0.25">
      <c r="C414" s="111">
        <f>'инновации+добровольчество0,369'!A533</f>
        <v>0</v>
      </c>
    </row>
    <row r="415" spans="3:3" hidden="1" x14ac:dyDescent="0.25">
      <c r="C415" s="111">
        <f>'инновации+добровольчество0,369'!A534</f>
        <v>0</v>
      </c>
    </row>
    <row r="416" spans="3:3" hidden="1" x14ac:dyDescent="0.25">
      <c r="C416" s="111">
        <f>'инновации+добровольчество0,369'!A535</f>
        <v>0</v>
      </c>
    </row>
    <row r="417" spans="3:3" hidden="1" x14ac:dyDescent="0.25">
      <c r="C417" s="111">
        <f>'инновации+добровольчество0,369'!A536</f>
        <v>0</v>
      </c>
    </row>
    <row r="418" spans="3:3" hidden="1" x14ac:dyDescent="0.25">
      <c r="C418" s="111">
        <f>'инновации+добровольчество0,369'!A537</f>
        <v>0</v>
      </c>
    </row>
    <row r="419" spans="3:3" hidden="1" x14ac:dyDescent="0.25">
      <c r="C419" s="111">
        <f>'инновации+добровольчество0,369'!A538</f>
        <v>0</v>
      </c>
    </row>
    <row r="420" spans="3:3" hidden="1" x14ac:dyDescent="0.25">
      <c r="C420" s="111">
        <f>'инновации+добровольчество0,369'!A539</f>
        <v>0</v>
      </c>
    </row>
    <row r="421" spans="3:3" hidden="1" x14ac:dyDescent="0.25">
      <c r="C421" s="111">
        <f>'инновации+добровольчество0,369'!A540</f>
        <v>0</v>
      </c>
    </row>
    <row r="422" spans="3:3" hidden="1" x14ac:dyDescent="0.25">
      <c r="C422" s="111">
        <f>'инновации+добровольчество0,369'!A541</f>
        <v>0</v>
      </c>
    </row>
    <row r="423" spans="3:3" hidden="1" x14ac:dyDescent="0.25">
      <c r="C423" s="111">
        <f>'инновации+добровольчество0,369'!A542</f>
        <v>0</v>
      </c>
    </row>
  </sheetData>
  <mergeCells count="18">
    <mergeCell ref="D1:E1"/>
    <mergeCell ref="A3:E3"/>
    <mergeCell ref="A4:E4"/>
    <mergeCell ref="C7:E7"/>
    <mergeCell ref="C8:E8"/>
    <mergeCell ref="C132:E132"/>
    <mergeCell ref="C138:E138"/>
    <mergeCell ref="B7:B382"/>
    <mergeCell ref="A7:A382"/>
    <mergeCell ref="C15:E15"/>
    <mergeCell ref="C76:E76"/>
    <mergeCell ref="C77:E77"/>
    <mergeCell ref="C84:E84"/>
    <mergeCell ref="C119:E119"/>
    <mergeCell ref="C127:E127"/>
    <mergeCell ref="C134:E134"/>
    <mergeCell ref="C141:E141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518"/>
  <sheetViews>
    <sheetView view="pageBreakPreview" topLeftCell="A460" zoomScale="85" zoomScaleNormal="70" zoomScaleSheetLayoutView="85" workbookViewId="0">
      <selection sqref="A1:I513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585" t="str">
        <f>'таланты+инициативы0,262'!A1:F1</f>
        <v>Учреждение: Муниципальное бюджетное учреждение  «Молодежный центр » Северо- Енисейского района</v>
      </c>
      <c r="B1" s="585"/>
      <c r="C1" s="585"/>
      <c r="D1" s="585"/>
      <c r="E1" s="585"/>
      <c r="F1" s="585"/>
      <c r="G1" s="585"/>
      <c r="H1" s="585"/>
    </row>
    <row r="2" spans="1:9" x14ac:dyDescent="0.25">
      <c r="A2" s="284" t="str">
        <f>'таланты+инициативы0,262'!A2</f>
        <v>на 07.12.2021 год</v>
      </c>
      <c r="B2" s="284"/>
      <c r="C2" s="284"/>
      <c r="D2" s="284"/>
    </row>
    <row r="3" spans="1:9" ht="48" customHeight="1" x14ac:dyDescent="0.25">
      <c r="A3" s="40" t="s">
        <v>208</v>
      </c>
      <c r="B3" s="585" t="s">
        <v>48</v>
      </c>
      <c r="C3" s="585"/>
      <c r="D3" s="585"/>
      <c r="E3" s="585"/>
      <c r="F3" s="585"/>
      <c r="G3" s="585"/>
      <c r="H3" s="585"/>
      <c r="I3" s="171"/>
    </row>
    <row r="4" spans="1:9" x14ac:dyDescent="0.25">
      <c r="A4" s="607" t="s">
        <v>212</v>
      </c>
      <c r="B4" s="607"/>
      <c r="C4" s="607"/>
      <c r="D4" s="607"/>
      <c r="E4" s="607"/>
    </row>
    <row r="5" spans="1:9" x14ac:dyDescent="0.25">
      <c r="A5" s="608" t="s">
        <v>41</v>
      </c>
      <c r="B5" s="608"/>
      <c r="C5" s="608"/>
      <c r="D5" s="608"/>
      <c r="E5" s="608"/>
    </row>
    <row r="6" spans="1:9" x14ac:dyDescent="0.25">
      <c r="A6" s="608" t="s">
        <v>197</v>
      </c>
      <c r="B6" s="608"/>
      <c r="C6" s="608"/>
      <c r="D6" s="608"/>
      <c r="E6" s="608"/>
    </row>
    <row r="7" spans="1:9" ht="29.25" customHeight="1" x14ac:dyDescent="0.25">
      <c r="A7" s="586" t="s">
        <v>211</v>
      </c>
      <c r="B7" s="586"/>
      <c r="C7" s="586"/>
      <c r="D7" s="586"/>
      <c r="E7" s="586"/>
    </row>
    <row r="8" spans="1:9" ht="15.75" x14ac:dyDescent="0.25">
      <c r="A8" s="586" t="s">
        <v>45</v>
      </c>
      <c r="B8" s="586"/>
      <c r="C8" s="586"/>
      <c r="D8" s="586"/>
      <c r="E8" s="586"/>
      <c r="F8" s="3"/>
    </row>
    <row r="9" spans="1:9" ht="31.5" x14ac:dyDescent="0.25">
      <c r="A9" s="102" t="s">
        <v>34</v>
      </c>
      <c r="B9" s="68" t="s">
        <v>9</v>
      </c>
      <c r="C9" s="69"/>
      <c r="D9" s="587" t="s">
        <v>10</v>
      </c>
      <c r="E9" s="588"/>
      <c r="F9" s="283" t="s">
        <v>9</v>
      </c>
    </row>
    <row r="10" spans="1:9" ht="15.75" x14ac:dyDescent="0.25">
      <c r="A10" s="102"/>
      <c r="B10" s="331"/>
      <c r="C10" s="331"/>
      <c r="D10" s="589" t="s">
        <v>185</v>
      </c>
      <c r="E10" s="590"/>
      <c r="F10" s="70">
        <v>1</v>
      </c>
    </row>
    <row r="11" spans="1:9" ht="15.75" x14ac:dyDescent="0.25">
      <c r="A11" s="68" t="s">
        <v>91</v>
      </c>
      <c r="B11" s="331">
        <v>1</v>
      </c>
      <c r="C11" s="331"/>
      <c r="D11" s="286" t="str">
        <f>'[1]2016'!$AE$25</f>
        <v>Водитель</v>
      </c>
      <c r="E11" s="287"/>
      <c r="F11" s="331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31">
        <v>5.6</v>
      </c>
      <c r="C12" s="331"/>
      <c r="D12" s="591" t="s">
        <v>85</v>
      </c>
      <c r="E12" s="592"/>
      <c r="F12" s="331">
        <v>0.5</v>
      </c>
    </row>
    <row r="13" spans="1:9" ht="15.6" customHeight="1" x14ac:dyDescent="0.25">
      <c r="A13" s="68"/>
      <c r="B13" s="331"/>
      <c r="C13" s="331"/>
      <c r="D13" s="286" t="str">
        <f>'[1]2016'!$AE$26</f>
        <v xml:space="preserve">Уборщик служебных помещений </v>
      </c>
      <c r="E13" s="287"/>
      <c r="F13" s="331">
        <v>1</v>
      </c>
    </row>
    <row r="14" spans="1:9" ht="15.75" x14ac:dyDescent="0.25">
      <c r="A14" s="71" t="s">
        <v>55</v>
      </c>
      <c r="B14" s="72">
        <f>SUM(B10:B12)</f>
        <v>6.6</v>
      </c>
      <c r="C14" s="71"/>
      <c r="D14" s="593" t="s">
        <v>55</v>
      </c>
      <c r="E14" s="594"/>
      <c r="F14" s="72">
        <f>SUM(F10:F13)</f>
        <v>3.5</v>
      </c>
    </row>
    <row r="15" spans="1:9" x14ac:dyDescent="0.25">
      <c r="A15" s="41" t="str">
        <f>'патриотика0,369'!A14</f>
        <v>Затраты на оплату труда работников, непосредственно связанных с выполнением работы</v>
      </c>
    </row>
    <row r="16" spans="1:9" x14ac:dyDescent="0.25">
      <c r="A16" s="609" t="s">
        <v>292</v>
      </c>
      <c r="B16" s="609"/>
      <c r="C16" s="609"/>
      <c r="D16" s="609"/>
      <c r="E16" s="609"/>
      <c r="F16" s="609"/>
    </row>
    <row r="17" spans="1:9" ht="15.75" x14ac:dyDescent="0.25">
      <c r="A17" s="10" t="s">
        <v>262</v>
      </c>
      <c r="B17" s="42"/>
      <c r="C17" s="42"/>
      <c r="D17" s="42"/>
    </row>
    <row r="18" spans="1:9" x14ac:dyDescent="0.25">
      <c r="A18" s="610" t="s">
        <v>43</v>
      </c>
      <c r="B18" s="610"/>
      <c r="C18" s="610"/>
      <c r="D18" s="610"/>
      <c r="E18" s="610"/>
      <c r="F18" s="610"/>
    </row>
    <row r="19" spans="1:9" x14ac:dyDescent="0.25">
      <c r="A19" s="606"/>
      <c r="B19" s="606"/>
      <c r="C19" s="299"/>
      <c r="D19" s="43">
        <v>0.36899999999999999</v>
      </c>
      <c r="E19" s="43"/>
    </row>
    <row r="20" spans="1:9" ht="15.6" customHeight="1" x14ac:dyDescent="0.25">
      <c r="A20" s="563" t="s">
        <v>0</v>
      </c>
      <c r="B20" s="563" t="s">
        <v>1</v>
      </c>
      <c r="C20" s="302"/>
      <c r="D20" s="563" t="s">
        <v>2</v>
      </c>
      <c r="E20" s="555" t="s">
        <v>3</v>
      </c>
      <c r="F20" s="556"/>
      <c r="G20" s="564" t="s">
        <v>35</v>
      </c>
      <c r="H20" s="302" t="s">
        <v>5</v>
      </c>
      <c r="I20" s="563" t="s">
        <v>6</v>
      </c>
    </row>
    <row r="21" spans="1:9" ht="30" x14ac:dyDescent="0.25">
      <c r="A21" s="563"/>
      <c r="B21" s="563"/>
      <c r="C21" s="302"/>
      <c r="D21" s="563"/>
      <c r="E21" s="302" t="s">
        <v>264</v>
      </c>
      <c r="F21" s="302" t="s">
        <v>263</v>
      </c>
      <c r="G21" s="564"/>
      <c r="H21" s="302" t="s">
        <v>49</v>
      </c>
      <c r="I21" s="563"/>
    </row>
    <row r="22" spans="1:9" ht="15.75" customHeight="1" x14ac:dyDescent="0.25">
      <c r="A22" s="563"/>
      <c r="B22" s="563"/>
      <c r="C22" s="302"/>
      <c r="D22" s="563"/>
      <c r="E22" s="302" t="s">
        <v>4</v>
      </c>
      <c r="F22" s="53"/>
      <c r="G22" s="564"/>
      <c r="H22" s="302" t="s">
        <v>266</v>
      </c>
      <c r="I22" s="563"/>
    </row>
    <row r="23" spans="1:9" x14ac:dyDescent="0.25">
      <c r="A23" s="563">
        <v>1</v>
      </c>
      <c r="B23" s="563">
        <v>2</v>
      </c>
      <c r="C23" s="302"/>
      <c r="D23" s="563">
        <v>3</v>
      </c>
      <c r="E23" s="563" t="s">
        <v>265</v>
      </c>
      <c r="F23" s="563">
        <v>5</v>
      </c>
      <c r="G23" s="564" t="s">
        <v>7</v>
      </c>
      <c r="H23" s="302" t="s">
        <v>50</v>
      </c>
      <c r="I23" s="563" t="s">
        <v>51</v>
      </c>
    </row>
    <row r="24" spans="1:9" x14ac:dyDescent="0.25">
      <c r="A24" s="563"/>
      <c r="B24" s="563"/>
      <c r="C24" s="302"/>
      <c r="D24" s="563"/>
      <c r="E24" s="563"/>
      <c r="F24" s="563"/>
      <c r="G24" s="564"/>
      <c r="H24" s="54">
        <v>1774.4</v>
      </c>
      <c r="I24" s="563"/>
    </row>
    <row r="25" spans="1:9" x14ac:dyDescent="0.25">
      <c r="A25" s="55" t="str">
        <f>'патриотика0,369'!A24</f>
        <v>Методист</v>
      </c>
      <c r="B25" s="88">
        <f>'патриотика0,369'!B24</f>
        <v>63788.2</v>
      </c>
      <c r="C25" s="88"/>
      <c r="D25" s="302">
        <f>1*D19</f>
        <v>0.36899999999999999</v>
      </c>
      <c r="E25" s="56">
        <f>D25*1774.4</f>
        <v>654.75360000000001</v>
      </c>
      <c r="F25" s="57">
        <v>1</v>
      </c>
      <c r="G25" s="58">
        <f>E25/F25</f>
        <v>654.75360000000001</v>
      </c>
      <c r="H25" s="56">
        <f>B25*1.302/1774*12</f>
        <v>561.79641307779025</v>
      </c>
      <c r="I25" s="56">
        <f>G25*H25</f>
        <v>367838.22392977023</v>
      </c>
    </row>
    <row r="26" spans="1:9" x14ac:dyDescent="0.25">
      <c r="A26" s="126" t="str">
        <f>A12</f>
        <v>Специалист по работе с молодежью</v>
      </c>
      <c r="B26" s="172">
        <f>'патриотика0,369'!B25</f>
        <v>45482.5</v>
      </c>
      <c r="C26" s="172"/>
      <c r="D26" s="302">
        <f>D19*5.6</f>
        <v>2.0663999999999998</v>
      </c>
      <c r="E26" s="56">
        <f>D26*1774.4</f>
        <v>3666.6201599999999</v>
      </c>
      <c r="F26" s="57">
        <v>1</v>
      </c>
      <c r="G26" s="58">
        <f>E26/F26</f>
        <v>3666.6201599999999</v>
      </c>
      <c r="H26" s="56">
        <f>B26*1.302/1774.4*12</f>
        <v>400.48387060414791</v>
      </c>
      <c r="I26" s="56">
        <f>G26*H26+47530.49</f>
        <v>1515952.7237120001</v>
      </c>
    </row>
    <row r="27" spans="1:9" x14ac:dyDescent="0.25">
      <c r="A27" s="55" t="s">
        <v>8</v>
      </c>
      <c r="B27" s="58"/>
      <c r="C27" s="58"/>
      <c r="D27" s="302">
        <f>SUM(D25:D26)</f>
        <v>2.4353999999999996</v>
      </c>
      <c r="E27" s="56"/>
      <c r="F27" s="57"/>
      <c r="G27" s="173"/>
      <c r="H27" s="89"/>
      <c r="I27" s="266">
        <f>SUM(I25:I26)-0.88</f>
        <v>1883790.0676417705</v>
      </c>
    </row>
    <row r="28" spans="1:9" x14ac:dyDescent="0.25">
      <c r="A28" s="147"/>
      <c r="B28" s="148"/>
      <c r="C28" s="148"/>
      <c r="D28" s="315"/>
      <c r="E28" s="149"/>
      <c r="F28" s="150"/>
      <c r="G28" s="174"/>
      <c r="H28" s="175"/>
    </row>
    <row r="29" spans="1:9" ht="14.45" hidden="1" customHeight="1" x14ac:dyDescent="0.25">
      <c r="A29" s="617" t="s">
        <v>164</v>
      </c>
      <c r="B29" s="617"/>
      <c r="C29" s="617"/>
      <c r="D29" s="617"/>
      <c r="E29" s="617"/>
      <c r="F29" s="617"/>
      <c r="G29" s="617"/>
      <c r="H29" s="617"/>
      <c r="I29" s="152"/>
    </row>
    <row r="30" spans="1:9" hidden="1" x14ac:dyDescent="0.25">
      <c r="A30" s="566" t="s">
        <v>58</v>
      </c>
      <c r="B30" s="596" t="s">
        <v>153</v>
      </c>
      <c r="C30" s="596"/>
      <c r="D30" s="596" t="s">
        <v>154</v>
      </c>
      <c r="E30" s="596"/>
      <c r="F30" s="596"/>
      <c r="G30" s="597"/>
      <c r="H30" s="597"/>
    </row>
    <row r="31" spans="1:9" hidden="1" x14ac:dyDescent="0.25">
      <c r="A31" s="567"/>
      <c r="B31" s="596"/>
      <c r="C31" s="596"/>
      <c r="D31" s="596" t="s">
        <v>155</v>
      </c>
      <c r="E31" s="566" t="s">
        <v>156</v>
      </c>
      <c r="F31" s="598" t="s">
        <v>157</v>
      </c>
      <c r="G31" s="566" t="s">
        <v>163</v>
      </c>
      <c r="H31" s="566" t="s">
        <v>6</v>
      </c>
    </row>
    <row r="32" spans="1:9" hidden="1" x14ac:dyDescent="0.25">
      <c r="A32" s="568"/>
      <c r="B32" s="596"/>
      <c r="C32" s="596"/>
      <c r="D32" s="596"/>
      <c r="E32" s="568"/>
      <c r="F32" s="598"/>
      <c r="G32" s="568"/>
      <c r="H32" s="568"/>
    </row>
    <row r="33" spans="1:11" hidden="1" x14ac:dyDescent="0.25">
      <c r="A33" s="292">
        <v>1</v>
      </c>
      <c r="B33" s="580">
        <v>2</v>
      </c>
      <c r="C33" s="581"/>
      <c r="D33" s="292">
        <v>3</v>
      </c>
      <c r="E33" s="292">
        <v>4</v>
      </c>
      <c r="F33" s="292">
        <v>5</v>
      </c>
      <c r="G33" s="177">
        <v>6</v>
      </c>
      <c r="H33" s="177">
        <v>7</v>
      </c>
    </row>
    <row r="34" spans="1:11" hidden="1" x14ac:dyDescent="0.25">
      <c r="A34" s="290" t="s">
        <v>91</v>
      </c>
      <c r="B34" s="290">
        <v>0.36699999999999999</v>
      </c>
      <c r="C34" s="291">
        <v>1</v>
      </c>
      <c r="D34" s="151">
        <v>2074.6</v>
      </c>
      <c r="E34" s="112">
        <f t="shared" ref="E34:E35" si="0">D34*12</f>
        <v>24895.199999999997</v>
      </c>
      <c r="F34" s="151">
        <f>18363.9*0.367</f>
        <v>6739.5513000000001</v>
      </c>
      <c r="G34" s="178">
        <f>F34*30.2%</f>
        <v>2035.3444926</v>
      </c>
      <c r="H34" s="178">
        <f>F34+G34</f>
        <v>8774.8957926000003</v>
      </c>
    </row>
    <row r="35" spans="1:11" hidden="1" x14ac:dyDescent="0.25">
      <c r="A35" s="290" t="s">
        <v>159</v>
      </c>
      <c r="B35" s="580">
        <f>5.6*0.367</f>
        <v>2.0551999999999997</v>
      </c>
      <c r="C35" s="581"/>
      <c r="D35" s="151">
        <f>1302.85*B35</f>
        <v>2677.6173199999994</v>
      </c>
      <c r="E35" s="112">
        <f t="shared" si="0"/>
        <v>32131.407839999993</v>
      </c>
      <c r="F35" s="151">
        <f>64311.87*0.367</f>
        <v>23602.456290000002</v>
      </c>
      <c r="G35" s="178">
        <f>F35*30.2%</f>
        <v>7127.9417995800004</v>
      </c>
      <c r="H35" s="178">
        <f>F35+G35</f>
        <v>30730.398089580001</v>
      </c>
    </row>
    <row r="36" spans="1:11" hidden="1" x14ac:dyDescent="0.25">
      <c r="A36" s="288"/>
      <c r="B36" s="595">
        <f>SUM(B34:C35)</f>
        <v>3.4221999999999997</v>
      </c>
      <c r="C36" s="595"/>
      <c r="D36" s="128">
        <f>SUM(D34:D35)</f>
        <v>4752.2173199999997</v>
      </c>
      <c r="E36" s="128">
        <f>SUM(E34:E35)</f>
        <v>57026.60783999999</v>
      </c>
      <c r="F36" s="128">
        <f>SUM(F34:F35)</f>
        <v>30342.007590000001</v>
      </c>
      <c r="G36" s="128">
        <f>SUM(G34:G35)</f>
        <v>9163.2862921800006</v>
      </c>
      <c r="H36" s="128"/>
    </row>
    <row r="37" spans="1:11" hidden="1" x14ac:dyDescent="0.25">
      <c r="A37" s="147"/>
      <c r="B37" s="148"/>
      <c r="C37" s="148"/>
      <c r="D37" s="315"/>
      <c r="E37" s="149"/>
      <c r="F37" s="150"/>
      <c r="G37" s="174"/>
      <c r="H37" s="175"/>
    </row>
    <row r="38" spans="1:11" ht="14.45" hidden="1" customHeight="1" x14ac:dyDescent="0.25">
      <c r="A38" s="617" t="s">
        <v>168</v>
      </c>
      <c r="B38" s="617"/>
      <c r="C38" s="617"/>
      <c r="D38" s="617"/>
      <c r="E38" s="617"/>
      <c r="F38" s="617"/>
      <c r="G38" s="617"/>
      <c r="H38" s="617"/>
      <c r="I38" s="152"/>
    </row>
    <row r="39" spans="1:11" ht="28.9" hidden="1" customHeight="1" x14ac:dyDescent="0.25">
      <c r="A39" s="566" t="s">
        <v>58</v>
      </c>
      <c r="B39" s="596" t="s">
        <v>153</v>
      </c>
      <c r="C39" s="596"/>
      <c r="D39" s="575" t="s">
        <v>154</v>
      </c>
      <c r="E39" s="577"/>
      <c r="F39" s="293"/>
      <c r="G39" s="38"/>
    </row>
    <row r="40" spans="1:11" ht="14.45" hidden="1" customHeight="1" x14ac:dyDescent="0.25">
      <c r="A40" s="567"/>
      <c r="B40" s="596"/>
      <c r="C40" s="596"/>
      <c r="D40" s="596" t="s">
        <v>155</v>
      </c>
      <c r="E40" s="566" t="s">
        <v>163</v>
      </c>
      <c r="F40" s="566" t="s">
        <v>167</v>
      </c>
      <c r="G40" s="38"/>
    </row>
    <row r="41" spans="1:11" hidden="1" x14ac:dyDescent="0.25">
      <c r="A41" s="568"/>
      <c r="B41" s="596"/>
      <c r="C41" s="596"/>
      <c r="D41" s="596"/>
      <c r="E41" s="568"/>
      <c r="F41" s="568"/>
      <c r="G41" s="38"/>
    </row>
    <row r="42" spans="1:11" hidden="1" x14ac:dyDescent="0.25">
      <c r="A42" s="292">
        <v>1</v>
      </c>
      <c r="B42" s="580">
        <v>2</v>
      </c>
      <c r="C42" s="581"/>
      <c r="D42" s="292">
        <v>3</v>
      </c>
      <c r="E42" s="177">
        <v>6</v>
      </c>
      <c r="F42" s="177">
        <v>7</v>
      </c>
      <c r="G42" s="38"/>
    </row>
    <row r="43" spans="1:11" hidden="1" x14ac:dyDescent="0.25">
      <c r="A43" s="290" t="s">
        <v>159</v>
      </c>
      <c r="B43" s="580">
        <f>5.6*0.367</f>
        <v>2.0551999999999997</v>
      </c>
      <c r="C43" s="581"/>
      <c r="D43" s="151">
        <v>4218.1400000000003</v>
      </c>
      <c r="E43" s="178">
        <f>D43*30.2%</f>
        <v>1273.8782800000001</v>
      </c>
      <c r="F43" s="178">
        <f>(E43+D43)*B43*12+0.64</f>
        <v>135446.991628672</v>
      </c>
      <c r="G43" s="38"/>
    </row>
    <row r="44" spans="1:11" hidden="1" x14ac:dyDescent="0.25">
      <c r="A44" s="288"/>
      <c r="B44" s="595">
        <f>SUM(B43:C43)</f>
        <v>2.0551999999999997</v>
      </c>
      <c r="C44" s="595"/>
      <c r="D44" s="128">
        <f>SUM(D43:D43)</f>
        <v>4218.1400000000003</v>
      </c>
      <c r="E44" s="128">
        <f>SUM(E43:E43)</f>
        <v>1273.8782800000001</v>
      </c>
      <c r="F44" s="128"/>
      <c r="G44" s="38"/>
    </row>
    <row r="45" spans="1:11" x14ac:dyDescent="0.25">
      <c r="A45" s="147"/>
      <c r="B45" s="148"/>
      <c r="C45" s="148"/>
      <c r="D45" s="315"/>
      <c r="E45" s="149"/>
      <c r="F45" s="150"/>
      <c r="G45" s="174"/>
      <c r="H45" s="175"/>
      <c r="J45" s="179">
        <f>I27</f>
        <v>1883790.0676417705</v>
      </c>
    </row>
    <row r="46" spans="1:11" x14ac:dyDescent="0.25">
      <c r="A46" s="147"/>
      <c r="B46" s="148"/>
      <c r="C46" s="148"/>
      <c r="D46" s="315"/>
      <c r="E46" s="149"/>
      <c r="F46" s="150"/>
      <c r="G46" s="174"/>
      <c r="H46" s="175"/>
      <c r="J46" s="39">
        <f>I151</f>
        <v>902125.00499183999</v>
      </c>
    </row>
    <row r="47" spans="1:11" x14ac:dyDescent="0.25">
      <c r="A47" s="613" t="s">
        <v>57</v>
      </c>
      <c r="B47" s="613"/>
      <c r="C47" s="613"/>
      <c r="D47" s="613"/>
      <c r="E47" s="613"/>
      <c r="F47" s="613"/>
      <c r="J47" s="39">
        <f>J45+J46</f>
        <v>2785915.0726336106</v>
      </c>
      <c r="K47" s="38" t="s">
        <v>102</v>
      </c>
    </row>
    <row r="48" spans="1:11" x14ac:dyDescent="0.25">
      <c r="A48" s="300" t="s">
        <v>79</v>
      </c>
      <c r="B48" s="44" t="s">
        <v>240</v>
      </c>
      <c r="C48" s="44"/>
      <c r="D48" s="44"/>
      <c r="E48" s="45"/>
      <c r="F48" s="45"/>
      <c r="J48" s="39">
        <v>2785915.95</v>
      </c>
      <c r="K48" s="38" t="s">
        <v>103</v>
      </c>
    </row>
    <row r="49" spans="1:10" x14ac:dyDescent="0.25">
      <c r="D49" s="46">
        <f>D19</f>
        <v>0.36899999999999999</v>
      </c>
    </row>
    <row r="50" spans="1:10" x14ac:dyDescent="0.25">
      <c r="A50" s="563" t="s">
        <v>27</v>
      </c>
      <c r="B50" s="563"/>
      <c r="C50" s="302"/>
      <c r="D50" s="563" t="s">
        <v>11</v>
      </c>
      <c r="E50" s="614" t="s">
        <v>46</v>
      </c>
      <c r="F50" s="614" t="s">
        <v>15</v>
      </c>
      <c r="G50" s="599" t="s">
        <v>6</v>
      </c>
      <c r="J50" s="39">
        <f>J48-J47</f>
        <v>0.87736638961359859</v>
      </c>
    </row>
    <row r="51" spans="1:10" hidden="1" x14ac:dyDescent="0.25">
      <c r="A51" s="563"/>
      <c r="B51" s="563"/>
      <c r="C51" s="302"/>
      <c r="D51" s="563"/>
      <c r="E51" s="615"/>
      <c r="F51" s="615"/>
      <c r="G51" s="600"/>
    </row>
    <row r="52" spans="1:10" x14ac:dyDescent="0.25">
      <c r="A52" s="555">
        <v>1</v>
      </c>
      <c r="B52" s="556"/>
      <c r="C52" s="297"/>
      <c r="D52" s="302">
        <v>2</v>
      </c>
      <c r="E52" s="57">
        <v>3</v>
      </c>
      <c r="F52" s="302">
        <v>4</v>
      </c>
      <c r="G52" s="59" t="s">
        <v>66</v>
      </c>
    </row>
    <row r="53" spans="1:10" ht="15.75" x14ac:dyDescent="0.25">
      <c r="A53" s="290" t="s">
        <v>186</v>
      </c>
      <c r="B53" s="316"/>
      <c r="C53" s="316"/>
      <c r="D53" s="292" t="s">
        <v>188</v>
      </c>
      <c r="E53" s="399">
        <f>19*4*D49</f>
        <v>28.044</v>
      </c>
      <c r="F53" s="400">
        <v>450</v>
      </c>
      <c r="G53" s="59">
        <f>E53*F53</f>
        <v>12619.800000000001</v>
      </c>
    </row>
    <row r="54" spans="1:10" ht="15.75" x14ac:dyDescent="0.25">
      <c r="A54" s="290" t="s">
        <v>187</v>
      </c>
      <c r="B54" s="316"/>
      <c r="C54" s="316"/>
      <c r="D54" s="292" t="s">
        <v>39</v>
      </c>
      <c r="E54" s="399">
        <f>19*D49</f>
        <v>7.0110000000000001</v>
      </c>
      <c r="F54" s="400">
        <v>6000</v>
      </c>
      <c r="G54" s="59">
        <f>E54*F54</f>
        <v>42066</v>
      </c>
    </row>
    <row r="55" spans="1:10" ht="15.75" x14ac:dyDescent="0.25">
      <c r="A55" s="290" t="s">
        <v>239</v>
      </c>
      <c r="B55" s="316"/>
      <c r="C55" s="316"/>
      <c r="D55" s="292" t="s">
        <v>188</v>
      </c>
      <c r="E55" s="399">
        <f>19*D49*3</f>
        <v>21.033000000000001</v>
      </c>
      <c r="F55" s="400">
        <v>1610.52</v>
      </c>
      <c r="G55" s="59">
        <f>E55*F55</f>
        <v>33874.067159999999</v>
      </c>
    </row>
    <row r="56" spans="1:10" x14ac:dyDescent="0.25">
      <c r="A56" s="611" t="s">
        <v>56</v>
      </c>
      <c r="B56" s="612"/>
      <c r="C56" s="301"/>
      <c r="D56" s="60"/>
      <c r="E56" s="374"/>
      <c r="F56" s="374"/>
      <c r="G56" s="259">
        <f>SUM(G53:G55)</f>
        <v>88559.867159999994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613" t="s">
        <v>80</v>
      </c>
      <c r="B58" s="613"/>
      <c r="C58" s="613"/>
      <c r="D58" s="613"/>
      <c r="E58" s="613"/>
      <c r="F58" s="613"/>
    </row>
    <row r="59" spans="1:10" ht="14.45" customHeight="1" x14ac:dyDescent="0.25">
      <c r="D59" s="46"/>
      <c r="F59" s="38">
        <v>1</v>
      </c>
    </row>
    <row r="60" spans="1:10" x14ac:dyDescent="0.25">
      <c r="A60" s="563" t="s">
        <v>118</v>
      </c>
      <c r="B60" s="563"/>
      <c r="C60" s="302"/>
      <c r="D60" s="563" t="s">
        <v>11</v>
      </c>
      <c r="E60" s="614" t="s">
        <v>46</v>
      </c>
      <c r="F60" s="614" t="s">
        <v>15</v>
      </c>
      <c r="G60" s="599" t="s">
        <v>6</v>
      </c>
    </row>
    <row r="61" spans="1:10" ht="15" hidden="1" customHeight="1" x14ac:dyDescent="0.25">
      <c r="A61" s="563"/>
      <c r="B61" s="563"/>
      <c r="C61" s="302"/>
      <c r="D61" s="563"/>
      <c r="E61" s="615"/>
      <c r="F61" s="615"/>
      <c r="G61" s="600"/>
    </row>
    <row r="62" spans="1:10" x14ac:dyDescent="0.25">
      <c r="A62" s="601">
        <v>1</v>
      </c>
      <c r="B62" s="602"/>
      <c r="C62" s="297"/>
      <c r="D62" s="302">
        <v>2</v>
      </c>
      <c r="E62" s="303">
        <v>3</v>
      </c>
      <c r="F62" s="303">
        <v>4</v>
      </c>
      <c r="G62" s="59" t="s">
        <v>66</v>
      </c>
    </row>
    <row r="63" spans="1:10" x14ac:dyDescent="0.25">
      <c r="A63" s="749" t="s">
        <v>218</v>
      </c>
      <c r="B63" s="748"/>
      <c r="C63" s="493"/>
      <c r="D63" s="490" t="s">
        <v>120</v>
      </c>
      <c r="E63" s="495">
        <v>0</v>
      </c>
      <c r="F63" s="436">
        <v>500</v>
      </c>
      <c r="G63" s="59">
        <f>E63*F63</f>
        <v>0</v>
      </c>
    </row>
    <row r="64" spans="1:10" ht="25.5" x14ac:dyDescent="0.25">
      <c r="A64" s="749" t="s">
        <v>301</v>
      </c>
      <c r="B64" s="748"/>
      <c r="C64" s="493"/>
      <c r="D64" s="490" t="s">
        <v>120</v>
      </c>
      <c r="E64" s="495">
        <v>0</v>
      </c>
      <c r="F64" s="436">
        <v>1575</v>
      </c>
      <c r="G64" s="59">
        <f t="shared" ref="G64:G127" si="1">E64*F64</f>
        <v>0</v>
      </c>
    </row>
    <row r="65" spans="1:7" x14ac:dyDescent="0.25">
      <c r="A65" s="750" t="s">
        <v>236</v>
      </c>
      <c r="B65" s="748"/>
      <c r="C65" s="493"/>
      <c r="D65" s="490" t="s">
        <v>120</v>
      </c>
      <c r="E65" s="499">
        <v>0</v>
      </c>
      <c r="F65" s="437">
        <v>1000</v>
      </c>
      <c r="G65" s="59">
        <f t="shared" si="1"/>
        <v>0</v>
      </c>
    </row>
    <row r="66" spans="1:7" ht="38.25" x14ac:dyDescent="0.25">
      <c r="A66" s="751" t="s">
        <v>634</v>
      </c>
      <c r="B66" s="748"/>
      <c r="C66" s="493"/>
      <c r="D66" s="490" t="s">
        <v>120</v>
      </c>
      <c r="E66" s="495">
        <v>1</v>
      </c>
      <c r="F66" s="436">
        <v>130</v>
      </c>
      <c r="G66" s="59">
        <f t="shared" si="1"/>
        <v>130</v>
      </c>
    </row>
    <row r="67" spans="1:7" x14ac:dyDescent="0.25">
      <c r="A67" s="751" t="s">
        <v>635</v>
      </c>
      <c r="B67" s="748"/>
      <c r="C67" s="493"/>
      <c r="D67" s="490" t="s">
        <v>120</v>
      </c>
      <c r="E67" s="495">
        <v>2</v>
      </c>
      <c r="F67" s="436">
        <v>210</v>
      </c>
      <c r="G67" s="59">
        <f t="shared" si="1"/>
        <v>420</v>
      </c>
    </row>
    <row r="68" spans="1:7" x14ac:dyDescent="0.25">
      <c r="A68" s="752" t="s">
        <v>636</v>
      </c>
      <c r="B68" s="748"/>
      <c r="C68" s="493"/>
      <c r="D68" s="490" t="s">
        <v>120</v>
      </c>
      <c r="E68" s="495"/>
      <c r="F68" s="436"/>
      <c r="G68" s="59">
        <f t="shared" si="1"/>
        <v>0</v>
      </c>
    </row>
    <row r="69" spans="1:7" x14ac:dyDescent="0.25">
      <c r="A69" s="751" t="s">
        <v>637</v>
      </c>
      <c r="B69" s="748"/>
      <c r="C69" s="493"/>
      <c r="D69" s="490" t="s">
        <v>120</v>
      </c>
      <c r="E69" s="495">
        <v>14</v>
      </c>
      <c r="F69" s="495">
        <v>2507.5</v>
      </c>
      <c r="G69" s="59">
        <f t="shared" si="1"/>
        <v>35105</v>
      </c>
    </row>
    <row r="70" spans="1:7" x14ac:dyDescent="0.25">
      <c r="A70" s="752" t="s">
        <v>638</v>
      </c>
      <c r="B70" s="748"/>
      <c r="C70" s="493"/>
      <c r="D70" s="490" t="s">
        <v>120</v>
      </c>
      <c r="E70" s="758"/>
      <c r="F70" s="764"/>
      <c r="G70" s="59">
        <f t="shared" si="1"/>
        <v>0</v>
      </c>
    </row>
    <row r="71" spans="1:7" ht="15.75" x14ac:dyDescent="0.25">
      <c r="A71" s="753" t="s">
        <v>639</v>
      </c>
      <c r="B71" s="748"/>
      <c r="C71" s="493"/>
      <c r="D71" s="490" t="s">
        <v>120</v>
      </c>
      <c r="E71" s="495">
        <v>5</v>
      </c>
      <c r="F71" s="765">
        <v>990</v>
      </c>
      <c r="G71" s="59">
        <f t="shared" si="1"/>
        <v>4950</v>
      </c>
    </row>
    <row r="72" spans="1:7" ht="15.75" x14ac:dyDescent="0.25">
      <c r="A72" s="753" t="s">
        <v>640</v>
      </c>
      <c r="B72" s="748"/>
      <c r="C72" s="493"/>
      <c r="D72" s="490" t="s">
        <v>120</v>
      </c>
      <c r="E72" s="495">
        <v>1</v>
      </c>
      <c r="F72" s="765">
        <v>2000</v>
      </c>
      <c r="G72" s="59">
        <f t="shared" si="1"/>
        <v>2000</v>
      </c>
    </row>
    <row r="73" spans="1:7" ht="15.75" x14ac:dyDescent="0.25">
      <c r="A73" s="753" t="s">
        <v>641</v>
      </c>
      <c r="B73" s="748"/>
      <c r="C73" s="493"/>
      <c r="D73" s="490" t="s">
        <v>120</v>
      </c>
      <c r="E73" s="495">
        <v>10</v>
      </c>
      <c r="F73" s="765">
        <v>100</v>
      </c>
      <c r="G73" s="59">
        <f t="shared" si="1"/>
        <v>1000</v>
      </c>
    </row>
    <row r="74" spans="1:7" x14ac:dyDescent="0.25">
      <c r="A74" s="752" t="s">
        <v>642</v>
      </c>
      <c r="B74" s="748"/>
      <c r="C74" s="493"/>
      <c r="D74" s="490" t="s">
        <v>120</v>
      </c>
      <c r="E74" s="758"/>
      <c r="F74" s="764"/>
      <c r="G74" s="59">
        <f t="shared" si="1"/>
        <v>0</v>
      </c>
    </row>
    <row r="75" spans="1:7" ht="15.75" x14ac:dyDescent="0.25">
      <c r="A75" s="753" t="s">
        <v>643</v>
      </c>
      <c r="B75" s="748"/>
      <c r="C75" s="493"/>
      <c r="D75" s="490" t="s">
        <v>120</v>
      </c>
      <c r="E75" s="761">
        <v>6</v>
      </c>
      <c r="F75" s="765">
        <v>650</v>
      </c>
      <c r="G75" s="59">
        <f t="shared" si="1"/>
        <v>3900</v>
      </c>
    </row>
    <row r="76" spans="1:7" ht="15.75" x14ac:dyDescent="0.25">
      <c r="A76" s="753" t="s">
        <v>644</v>
      </c>
      <c r="B76" s="748"/>
      <c r="C76" s="493"/>
      <c r="D76" s="490" t="s">
        <v>120</v>
      </c>
      <c r="E76" s="761">
        <v>6</v>
      </c>
      <c r="F76" s="765">
        <v>800</v>
      </c>
      <c r="G76" s="59">
        <f t="shared" si="1"/>
        <v>4800</v>
      </c>
    </row>
    <row r="77" spans="1:7" ht="15.75" x14ac:dyDescent="0.25">
      <c r="A77" s="753" t="s">
        <v>645</v>
      </c>
      <c r="B77" s="748"/>
      <c r="C77" s="493"/>
      <c r="D77" s="490" t="s">
        <v>120</v>
      </c>
      <c r="E77" s="761">
        <v>4</v>
      </c>
      <c r="F77" s="765">
        <v>1450</v>
      </c>
      <c r="G77" s="59">
        <f t="shared" si="1"/>
        <v>5800</v>
      </c>
    </row>
    <row r="78" spans="1:7" ht="15.75" x14ac:dyDescent="0.25">
      <c r="A78" s="753" t="s">
        <v>646</v>
      </c>
      <c r="B78" s="748"/>
      <c r="C78" s="493"/>
      <c r="D78" s="490" t="s">
        <v>120</v>
      </c>
      <c r="E78" s="761">
        <v>10</v>
      </c>
      <c r="F78" s="765">
        <v>300</v>
      </c>
      <c r="G78" s="59">
        <f t="shared" si="1"/>
        <v>3000</v>
      </c>
    </row>
    <row r="79" spans="1:7" ht="15.75" x14ac:dyDescent="0.25">
      <c r="A79" s="753" t="s">
        <v>647</v>
      </c>
      <c r="B79" s="748"/>
      <c r="C79" s="493"/>
      <c r="D79" s="490" t="s">
        <v>120</v>
      </c>
      <c r="E79" s="761">
        <v>16</v>
      </c>
      <c r="F79" s="765">
        <v>900</v>
      </c>
      <c r="G79" s="59">
        <f t="shared" si="1"/>
        <v>14400</v>
      </c>
    </row>
    <row r="80" spans="1:7" ht="15.75" x14ac:dyDescent="0.25">
      <c r="A80" s="754" t="s">
        <v>648</v>
      </c>
      <c r="B80" s="748"/>
      <c r="C80" s="493"/>
      <c r="D80" s="490" t="s">
        <v>120</v>
      </c>
      <c r="E80" s="762">
        <v>1</v>
      </c>
      <c r="F80" s="766">
        <v>4000</v>
      </c>
      <c r="G80" s="59">
        <f t="shared" si="1"/>
        <v>4000</v>
      </c>
    </row>
    <row r="81" spans="1:7" ht="15.75" x14ac:dyDescent="0.25">
      <c r="A81" s="754" t="s">
        <v>649</v>
      </c>
      <c r="B81" s="748"/>
      <c r="C81" s="493"/>
      <c r="D81" s="490" t="s">
        <v>120</v>
      </c>
      <c r="E81" s="762">
        <v>4</v>
      </c>
      <c r="F81" s="766">
        <v>600</v>
      </c>
      <c r="G81" s="59">
        <f t="shared" si="1"/>
        <v>2400</v>
      </c>
    </row>
    <row r="82" spans="1:7" x14ac:dyDescent="0.25">
      <c r="A82" s="755" t="s">
        <v>650</v>
      </c>
      <c r="B82" s="748"/>
      <c r="C82" s="493"/>
      <c r="D82" s="490" t="s">
        <v>120</v>
      </c>
      <c r="E82" s="759"/>
      <c r="F82" s="767"/>
      <c r="G82" s="59">
        <f t="shared" si="1"/>
        <v>0</v>
      </c>
    </row>
    <row r="83" spans="1:7" ht="15.75" x14ac:dyDescent="0.25">
      <c r="A83" s="753" t="s">
        <v>651</v>
      </c>
      <c r="B83" s="748"/>
      <c r="C83" s="493"/>
      <c r="D83" s="490" t="s">
        <v>120</v>
      </c>
      <c r="E83" s="761">
        <v>2</v>
      </c>
      <c r="F83" s="761">
        <v>2000</v>
      </c>
      <c r="G83" s="59">
        <f t="shared" si="1"/>
        <v>4000</v>
      </c>
    </row>
    <row r="84" spans="1:7" ht="15.75" x14ac:dyDescent="0.25">
      <c r="A84" s="753" t="s">
        <v>652</v>
      </c>
      <c r="B84" s="748"/>
      <c r="C84" s="493"/>
      <c r="D84" s="490" t="s">
        <v>120</v>
      </c>
      <c r="E84" s="761">
        <v>10</v>
      </c>
      <c r="F84" s="761">
        <v>1000</v>
      </c>
      <c r="G84" s="59">
        <f t="shared" si="1"/>
        <v>10000</v>
      </c>
    </row>
    <row r="85" spans="1:7" ht="15.75" x14ac:dyDescent="0.25">
      <c r="A85" s="753" t="s">
        <v>653</v>
      </c>
      <c r="B85" s="748"/>
      <c r="C85" s="493"/>
      <c r="D85" s="490" t="s">
        <v>120</v>
      </c>
      <c r="E85" s="761">
        <v>2</v>
      </c>
      <c r="F85" s="761">
        <v>200</v>
      </c>
      <c r="G85" s="59">
        <f t="shared" si="1"/>
        <v>400</v>
      </c>
    </row>
    <row r="86" spans="1:7" ht="15.75" x14ac:dyDescent="0.25">
      <c r="A86" s="753" t="s">
        <v>654</v>
      </c>
      <c r="B86" s="748"/>
      <c r="C86" s="493"/>
      <c r="D86" s="490" t="s">
        <v>120</v>
      </c>
      <c r="E86" s="761">
        <v>2</v>
      </c>
      <c r="F86" s="761">
        <v>900</v>
      </c>
      <c r="G86" s="59">
        <f t="shared" si="1"/>
        <v>1800</v>
      </c>
    </row>
    <row r="87" spans="1:7" ht="15.75" x14ac:dyDescent="0.25">
      <c r="A87" s="753" t="s">
        <v>655</v>
      </c>
      <c r="B87" s="748"/>
      <c r="C87" s="493"/>
      <c r="D87" s="490" t="s">
        <v>120</v>
      </c>
      <c r="E87" s="761">
        <v>32</v>
      </c>
      <c r="F87" s="761">
        <v>250</v>
      </c>
      <c r="G87" s="59">
        <f t="shared" si="1"/>
        <v>8000</v>
      </c>
    </row>
    <row r="88" spans="1:7" ht="15.75" x14ac:dyDescent="0.25">
      <c r="A88" s="753" t="s">
        <v>656</v>
      </c>
      <c r="B88" s="748"/>
      <c r="C88" s="493"/>
      <c r="D88" s="490" t="s">
        <v>120</v>
      </c>
      <c r="E88" s="761">
        <v>80</v>
      </c>
      <c r="F88" s="761">
        <v>50</v>
      </c>
      <c r="G88" s="59">
        <f t="shared" si="1"/>
        <v>4000</v>
      </c>
    </row>
    <row r="89" spans="1:7" ht="15.75" x14ac:dyDescent="0.25">
      <c r="A89" s="753" t="s">
        <v>657</v>
      </c>
      <c r="B89" s="748"/>
      <c r="C89" s="493"/>
      <c r="D89" s="490" t="s">
        <v>120</v>
      </c>
      <c r="E89" s="761">
        <v>2</v>
      </c>
      <c r="F89" s="761">
        <v>500</v>
      </c>
      <c r="G89" s="59">
        <f t="shared" si="1"/>
        <v>1000</v>
      </c>
    </row>
    <row r="90" spans="1:7" ht="15.75" x14ac:dyDescent="0.25">
      <c r="A90" s="753" t="s">
        <v>658</v>
      </c>
      <c r="B90" s="748"/>
      <c r="C90" s="493"/>
      <c r="D90" s="490" t="s">
        <v>120</v>
      </c>
      <c r="E90" s="761">
        <v>2</v>
      </c>
      <c r="F90" s="761">
        <v>2500</v>
      </c>
      <c r="G90" s="59">
        <f t="shared" si="1"/>
        <v>5000</v>
      </c>
    </row>
    <row r="91" spans="1:7" ht="15.75" x14ac:dyDescent="0.25">
      <c r="A91" s="753" t="s">
        <v>659</v>
      </c>
      <c r="B91" s="748"/>
      <c r="C91" s="493"/>
      <c r="D91" s="490" t="s">
        <v>120</v>
      </c>
      <c r="E91" s="761">
        <v>14</v>
      </c>
      <c r="F91" s="761">
        <v>1000</v>
      </c>
      <c r="G91" s="59">
        <f t="shared" si="1"/>
        <v>14000</v>
      </c>
    </row>
    <row r="92" spans="1:7" x14ac:dyDescent="0.25">
      <c r="A92" s="756" t="s">
        <v>660</v>
      </c>
      <c r="B92" s="748"/>
      <c r="C92" s="493"/>
      <c r="D92" s="490" t="s">
        <v>120</v>
      </c>
      <c r="E92" s="759"/>
      <c r="F92" s="767"/>
      <c r="G92" s="59">
        <f t="shared" si="1"/>
        <v>0</v>
      </c>
    </row>
    <row r="93" spans="1:7" ht="15.75" x14ac:dyDescent="0.25">
      <c r="A93" s="753" t="s">
        <v>661</v>
      </c>
      <c r="B93" s="748"/>
      <c r="C93" s="493"/>
      <c r="D93" s="490" t="s">
        <v>120</v>
      </c>
      <c r="E93" s="495">
        <v>1</v>
      </c>
      <c r="F93" s="436">
        <v>2150</v>
      </c>
      <c r="G93" s="59">
        <f t="shared" si="1"/>
        <v>2150</v>
      </c>
    </row>
    <row r="94" spans="1:7" ht="15.75" x14ac:dyDescent="0.25">
      <c r="A94" s="753" t="s">
        <v>662</v>
      </c>
      <c r="B94" s="748"/>
      <c r="C94" s="493"/>
      <c r="D94" s="490" t="s">
        <v>120</v>
      </c>
      <c r="E94" s="495">
        <v>3</v>
      </c>
      <c r="F94" s="436">
        <v>550</v>
      </c>
      <c r="G94" s="59">
        <f t="shared" si="1"/>
        <v>1650</v>
      </c>
    </row>
    <row r="95" spans="1:7" ht="15.75" x14ac:dyDescent="0.25">
      <c r="A95" s="753" t="s">
        <v>663</v>
      </c>
      <c r="B95" s="748"/>
      <c r="C95" s="493"/>
      <c r="D95" s="490" t="s">
        <v>120</v>
      </c>
      <c r="E95" s="495">
        <v>2</v>
      </c>
      <c r="F95" s="436">
        <v>285</v>
      </c>
      <c r="G95" s="59">
        <f t="shared" si="1"/>
        <v>570</v>
      </c>
    </row>
    <row r="96" spans="1:7" ht="15.75" x14ac:dyDescent="0.25">
      <c r="A96" s="753" t="s">
        <v>664</v>
      </c>
      <c r="B96" s="748"/>
      <c r="C96" s="493"/>
      <c r="D96" s="490" t="s">
        <v>120</v>
      </c>
      <c r="E96" s="495">
        <v>1</v>
      </c>
      <c r="F96" s="436">
        <v>360</v>
      </c>
      <c r="G96" s="59">
        <f t="shared" si="1"/>
        <v>360</v>
      </c>
    </row>
    <row r="97" spans="1:7" ht="15.75" x14ac:dyDescent="0.25">
      <c r="A97" s="753" t="s">
        <v>665</v>
      </c>
      <c r="B97" s="748"/>
      <c r="C97" s="493"/>
      <c r="D97" s="490" t="s">
        <v>120</v>
      </c>
      <c r="E97" s="495">
        <v>3</v>
      </c>
      <c r="F97" s="436">
        <v>185</v>
      </c>
      <c r="G97" s="59">
        <f t="shared" si="1"/>
        <v>555</v>
      </c>
    </row>
    <row r="98" spans="1:7" ht="15.75" x14ac:dyDescent="0.25">
      <c r="A98" s="753" t="s">
        <v>666</v>
      </c>
      <c r="B98" s="748"/>
      <c r="C98" s="493"/>
      <c r="D98" s="490" t="s">
        <v>120</v>
      </c>
      <c r="E98" s="495">
        <v>10</v>
      </c>
      <c r="F98" s="436">
        <v>32</v>
      </c>
      <c r="G98" s="59">
        <f t="shared" si="1"/>
        <v>320</v>
      </c>
    </row>
    <row r="99" spans="1:7" ht="15.75" x14ac:dyDescent="0.25">
      <c r="A99" s="753" t="s">
        <v>667</v>
      </c>
      <c r="B99" s="748"/>
      <c r="C99" s="493"/>
      <c r="D99" s="490" t="s">
        <v>120</v>
      </c>
      <c r="E99" s="495">
        <v>1</v>
      </c>
      <c r="F99" s="436">
        <v>480</v>
      </c>
      <c r="G99" s="59">
        <f t="shared" si="1"/>
        <v>480</v>
      </c>
    </row>
    <row r="100" spans="1:7" ht="15.75" x14ac:dyDescent="0.25">
      <c r="A100" s="753" t="s">
        <v>668</v>
      </c>
      <c r="B100" s="748"/>
      <c r="C100" s="493"/>
      <c r="D100" s="490" t="s">
        <v>120</v>
      </c>
      <c r="E100" s="495">
        <v>10</v>
      </c>
      <c r="F100" s="436">
        <v>85</v>
      </c>
      <c r="G100" s="59">
        <f t="shared" si="1"/>
        <v>850</v>
      </c>
    </row>
    <row r="101" spans="1:7" ht="15.75" x14ac:dyDescent="0.25">
      <c r="A101" s="757" t="s">
        <v>669</v>
      </c>
      <c r="B101" s="748"/>
      <c r="C101" s="493"/>
      <c r="D101" s="490" t="s">
        <v>120</v>
      </c>
      <c r="E101" s="763"/>
      <c r="F101" s="760"/>
      <c r="G101" s="59">
        <f t="shared" si="1"/>
        <v>0</v>
      </c>
    </row>
    <row r="102" spans="1:7" ht="15.75" x14ac:dyDescent="0.25">
      <c r="A102" s="753" t="s">
        <v>670</v>
      </c>
      <c r="B102" s="748"/>
      <c r="C102" s="493"/>
      <c r="D102" s="490" t="s">
        <v>120</v>
      </c>
      <c r="E102" s="495">
        <v>1</v>
      </c>
      <c r="F102" s="436">
        <v>19990</v>
      </c>
      <c r="G102" s="59">
        <f t="shared" si="1"/>
        <v>19990</v>
      </c>
    </row>
    <row r="103" spans="1:7" ht="15.75" x14ac:dyDescent="0.25">
      <c r="A103" s="753" t="s">
        <v>671</v>
      </c>
      <c r="B103" s="748"/>
      <c r="C103" s="493"/>
      <c r="D103" s="490" t="s">
        <v>120</v>
      </c>
      <c r="E103" s="495">
        <v>1</v>
      </c>
      <c r="F103" s="436">
        <v>19130</v>
      </c>
      <c r="G103" s="59">
        <f t="shared" si="1"/>
        <v>19130</v>
      </c>
    </row>
    <row r="104" spans="1:7" x14ac:dyDescent="0.25">
      <c r="A104" s="738" t="s">
        <v>672</v>
      </c>
      <c r="B104" s="748"/>
      <c r="C104" s="493"/>
      <c r="D104" s="490" t="s">
        <v>120</v>
      </c>
      <c r="E104" s="495">
        <v>10</v>
      </c>
      <c r="F104" s="436">
        <v>1100</v>
      </c>
      <c r="G104" s="59">
        <f t="shared" si="1"/>
        <v>11000</v>
      </c>
    </row>
    <row r="105" spans="1:7" x14ac:dyDescent="0.25">
      <c r="A105" s="736" t="s">
        <v>673</v>
      </c>
      <c r="B105" s="748"/>
      <c r="C105" s="493"/>
      <c r="D105" s="490" t="s">
        <v>120</v>
      </c>
      <c r="E105" s="91">
        <v>1</v>
      </c>
      <c r="F105" s="92">
        <v>2490</v>
      </c>
      <c r="G105" s="59">
        <f t="shared" si="1"/>
        <v>2490</v>
      </c>
    </row>
    <row r="106" spans="1:7" x14ac:dyDescent="0.25">
      <c r="A106" s="736" t="s">
        <v>674</v>
      </c>
      <c r="B106" s="748"/>
      <c r="C106" s="493"/>
      <c r="D106" s="490" t="s">
        <v>120</v>
      </c>
      <c r="E106" s="91">
        <v>1</v>
      </c>
      <c r="F106" s="92">
        <v>3490</v>
      </c>
      <c r="G106" s="59">
        <f t="shared" si="1"/>
        <v>3490</v>
      </c>
    </row>
    <row r="107" spans="1:7" x14ac:dyDescent="0.25">
      <c r="A107" s="736" t="s">
        <v>675</v>
      </c>
      <c r="B107" s="748"/>
      <c r="C107" s="493"/>
      <c r="D107" s="490" t="s">
        <v>120</v>
      </c>
      <c r="E107" s="91">
        <v>1</v>
      </c>
      <c r="F107" s="92">
        <v>2100</v>
      </c>
      <c r="G107" s="59">
        <f t="shared" si="1"/>
        <v>2100</v>
      </c>
    </row>
    <row r="108" spans="1:7" x14ac:dyDescent="0.25">
      <c r="A108" s="736" t="s">
        <v>676</v>
      </c>
      <c r="B108" s="748"/>
      <c r="C108" s="493"/>
      <c r="D108" s="490" t="s">
        <v>120</v>
      </c>
      <c r="E108" s="91">
        <v>1</v>
      </c>
      <c r="F108" s="92">
        <v>4100</v>
      </c>
      <c r="G108" s="59">
        <f t="shared" si="1"/>
        <v>4100</v>
      </c>
    </row>
    <row r="109" spans="1:7" x14ac:dyDescent="0.25">
      <c r="A109" s="736" t="s">
        <v>677</v>
      </c>
      <c r="B109" s="748"/>
      <c r="C109" s="493"/>
      <c r="D109" s="490" t="s">
        <v>120</v>
      </c>
      <c r="E109" s="91">
        <v>1</v>
      </c>
      <c r="F109" s="92">
        <v>4900</v>
      </c>
      <c r="G109" s="59">
        <f t="shared" si="1"/>
        <v>4900</v>
      </c>
    </row>
    <row r="110" spans="1:7" x14ac:dyDescent="0.25">
      <c r="A110" s="736" t="s">
        <v>678</v>
      </c>
      <c r="B110" s="748"/>
      <c r="C110" s="493"/>
      <c r="D110" s="490" t="s">
        <v>120</v>
      </c>
      <c r="E110" s="91">
        <v>1</v>
      </c>
      <c r="F110" s="92">
        <v>1300</v>
      </c>
      <c r="G110" s="59">
        <f t="shared" si="1"/>
        <v>1300</v>
      </c>
    </row>
    <row r="111" spans="1:7" x14ac:dyDescent="0.25">
      <c r="A111" s="736" t="s">
        <v>679</v>
      </c>
      <c r="B111" s="748"/>
      <c r="C111" s="493"/>
      <c r="D111" s="490" t="s">
        <v>120</v>
      </c>
      <c r="E111" s="91">
        <v>1</v>
      </c>
      <c r="F111" s="92">
        <v>3490</v>
      </c>
      <c r="G111" s="59">
        <f t="shared" si="1"/>
        <v>3490</v>
      </c>
    </row>
    <row r="112" spans="1:7" x14ac:dyDescent="0.25">
      <c r="A112" s="736" t="s">
        <v>680</v>
      </c>
      <c r="B112" s="748"/>
      <c r="C112" s="493"/>
      <c r="D112" s="490" t="s">
        <v>120</v>
      </c>
      <c r="E112" s="91">
        <v>1</v>
      </c>
      <c r="F112" s="92">
        <v>2600</v>
      </c>
      <c r="G112" s="59">
        <f t="shared" si="1"/>
        <v>2600</v>
      </c>
    </row>
    <row r="113" spans="1:7" x14ac:dyDescent="0.25">
      <c r="A113" s="736" t="s">
        <v>681</v>
      </c>
      <c r="B113" s="748"/>
      <c r="C113" s="493"/>
      <c r="D113" s="490" t="s">
        <v>120</v>
      </c>
      <c r="E113" s="91">
        <v>1</v>
      </c>
      <c r="F113" s="92">
        <v>3000</v>
      </c>
      <c r="G113" s="59">
        <f t="shared" si="1"/>
        <v>3000</v>
      </c>
    </row>
    <row r="114" spans="1:7" x14ac:dyDescent="0.25">
      <c r="A114" s="736" t="s">
        <v>682</v>
      </c>
      <c r="B114" s="748"/>
      <c r="C114" s="493"/>
      <c r="D114" s="490" t="s">
        <v>120</v>
      </c>
      <c r="E114" s="91">
        <v>1</v>
      </c>
      <c r="F114" s="92">
        <v>3050</v>
      </c>
      <c r="G114" s="59">
        <f t="shared" si="1"/>
        <v>3050</v>
      </c>
    </row>
    <row r="115" spans="1:7" x14ac:dyDescent="0.25">
      <c r="A115" s="736" t="s">
        <v>683</v>
      </c>
      <c r="B115" s="748"/>
      <c r="C115" s="493"/>
      <c r="D115" s="490" t="s">
        <v>120</v>
      </c>
      <c r="E115" s="91">
        <v>1</v>
      </c>
      <c r="F115" s="92">
        <v>1800</v>
      </c>
      <c r="G115" s="59">
        <f t="shared" si="1"/>
        <v>1800</v>
      </c>
    </row>
    <row r="116" spans="1:7" x14ac:dyDescent="0.25">
      <c r="A116" s="736" t="s">
        <v>684</v>
      </c>
      <c r="B116" s="748"/>
      <c r="C116" s="493"/>
      <c r="D116" s="490" t="s">
        <v>120</v>
      </c>
      <c r="E116" s="91">
        <v>1</v>
      </c>
      <c r="F116" s="92">
        <v>1600</v>
      </c>
      <c r="G116" s="59">
        <f t="shared" si="1"/>
        <v>1600</v>
      </c>
    </row>
    <row r="117" spans="1:7" x14ac:dyDescent="0.25">
      <c r="A117" s="738" t="s">
        <v>685</v>
      </c>
      <c r="B117" s="748"/>
      <c r="C117" s="493"/>
      <c r="D117" s="490" t="s">
        <v>120</v>
      </c>
      <c r="E117" s="495">
        <v>1</v>
      </c>
      <c r="F117" s="436">
        <v>5300</v>
      </c>
      <c r="G117" s="59">
        <f t="shared" si="1"/>
        <v>5300</v>
      </c>
    </row>
    <row r="118" spans="1:7" x14ac:dyDescent="0.25">
      <c r="A118" s="738" t="s">
        <v>686</v>
      </c>
      <c r="B118" s="748"/>
      <c r="C118" s="493"/>
      <c r="D118" s="490" t="s">
        <v>120</v>
      </c>
      <c r="E118" s="495">
        <v>1</v>
      </c>
      <c r="F118" s="436">
        <v>5100</v>
      </c>
      <c r="G118" s="59">
        <f t="shared" si="1"/>
        <v>5100</v>
      </c>
    </row>
    <row r="119" spans="1:7" x14ac:dyDescent="0.25">
      <c r="A119" s="738" t="s">
        <v>687</v>
      </c>
      <c r="B119" s="748"/>
      <c r="C119" s="493"/>
      <c r="D119" s="490" t="s">
        <v>120</v>
      </c>
      <c r="E119" s="495">
        <v>1</v>
      </c>
      <c r="F119" s="436">
        <v>2820</v>
      </c>
      <c r="G119" s="59">
        <f t="shared" si="1"/>
        <v>2820</v>
      </c>
    </row>
    <row r="120" spans="1:7" x14ac:dyDescent="0.25">
      <c r="A120" s="738" t="s">
        <v>688</v>
      </c>
      <c r="B120" s="748"/>
      <c r="C120" s="493"/>
      <c r="D120" s="490" t="s">
        <v>120</v>
      </c>
      <c r="E120" s="495">
        <v>6</v>
      </c>
      <c r="F120" s="436">
        <v>1650</v>
      </c>
      <c r="G120" s="59">
        <f t="shared" si="1"/>
        <v>9900</v>
      </c>
    </row>
    <row r="121" spans="1:7" x14ac:dyDescent="0.25">
      <c r="A121" s="738" t="s">
        <v>689</v>
      </c>
      <c r="B121" s="748"/>
      <c r="C121" s="493"/>
      <c r="D121" s="490" t="s">
        <v>120</v>
      </c>
      <c r="E121" s="495">
        <v>2</v>
      </c>
      <c r="F121" s="436">
        <v>4400</v>
      </c>
      <c r="G121" s="59">
        <f t="shared" si="1"/>
        <v>8800</v>
      </c>
    </row>
    <row r="122" spans="1:7" x14ac:dyDescent="0.25">
      <c r="A122" s="738" t="s">
        <v>690</v>
      </c>
      <c r="B122" s="748"/>
      <c r="C122" s="493"/>
      <c r="D122" s="490" t="s">
        <v>120</v>
      </c>
      <c r="E122" s="495">
        <v>5</v>
      </c>
      <c r="F122" s="436">
        <v>600</v>
      </c>
      <c r="G122" s="59">
        <f t="shared" si="1"/>
        <v>3000</v>
      </c>
    </row>
    <row r="123" spans="1:7" x14ac:dyDescent="0.25">
      <c r="A123" s="738" t="s">
        <v>691</v>
      </c>
      <c r="B123" s="748"/>
      <c r="C123" s="493"/>
      <c r="D123" s="490" t="s">
        <v>120</v>
      </c>
      <c r="E123" s="495">
        <v>5</v>
      </c>
      <c r="F123" s="436">
        <v>1200</v>
      </c>
      <c r="G123" s="59">
        <f t="shared" si="1"/>
        <v>6000</v>
      </c>
    </row>
    <row r="124" spans="1:7" x14ac:dyDescent="0.25">
      <c r="A124" s="738" t="s">
        <v>692</v>
      </c>
      <c r="B124" s="748"/>
      <c r="C124" s="493"/>
      <c r="D124" s="490" t="s">
        <v>120</v>
      </c>
      <c r="E124" s="495">
        <v>5</v>
      </c>
      <c r="F124" s="436">
        <v>1000</v>
      </c>
      <c r="G124" s="59">
        <f t="shared" si="1"/>
        <v>5000</v>
      </c>
    </row>
    <row r="125" spans="1:7" x14ac:dyDescent="0.25">
      <c r="A125" s="738" t="s">
        <v>693</v>
      </c>
      <c r="B125" s="748"/>
      <c r="C125" s="493"/>
      <c r="D125" s="490" t="s">
        <v>120</v>
      </c>
      <c r="E125" s="495">
        <v>5</v>
      </c>
      <c r="F125" s="436">
        <v>500</v>
      </c>
      <c r="G125" s="59">
        <f t="shared" si="1"/>
        <v>2500</v>
      </c>
    </row>
    <row r="126" spans="1:7" ht="25.5" x14ac:dyDescent="0.25">
      <c r="A126" s="738" t="s">
        <v>694</v>
      </c>
      <c r="B126" s="748"/>
      <c r="C126" s="493"/>
      <c r="D126" s="490" t="s">
        <v>120</v>
      </c>
      <c r="E126" s="495"/>
      <c r="F126" s="436"/>
      <c r="G126" s="59">
        <f t="shared" si="1"/>
        <v>0</v>
      </c>
    </row>
    <row r="127" spans="1:7" x14ac:dyDescent="0.25">
      <c r="A127" s="738" t="s">
        <v>695</v>
      </c>
      <c r="B127" s="748"/>
      <c r="C127" s="493"/>
      <c r="D127" s="490" t="s">
        <v>120</v>
      </c>
      <c r="E127" s="495">
        <v>5</v>
      </c>
      <c r="F127" s="436">
        <v>2000</v>
      </c>
      <c r="G127" s="59">
        <f t="shared" si="1"/>
        <v>10000</v>
      </c>
    </row>
    <row r="128" spans="1:7" x14ac:dyDescent="0.25">
      <c r="A128" s="738" t="s">
        <v>695</v>
      </c>
      <c r="B128" s="748"/>
      <c r="C128" s="493"/>
      <c r="D128" s="490" t="s">
        <v>120</v>
      </c>
      <c r="E128" s="495">
        <v>2</v>
      </c>
      <c r="F128" s="436">
        <v>2500</v>
      </c>
      <c r="G128" s="59">
        <f t="shared" ref="G128:G130" si="2">E128*F128</f>
        <v>5000</v>
      </c>
    </row>
    <row r="129" spans="1:9" x14ac:dyDescent="0.25">
      <c r="A129" s="738" t="s">
        <v>695</v>
      </c>
      <c r="B129" s="748"/>
      <c r="C129" s="493"/>
      <c r="D129" s="490" t="s">
        <v>120</v>
      </c>
      <c r="E129" s="495">
        <v>5</v>
      </c>
      <c r="F129" s="436">
        <v>1000</v>
      </c>
      <c r="G129" s="59">
        <f t="shared" si="2"/>
        <v>5000</v>
      </c>
    </row>
    <row r="130" spans="1:9" x14ac:dyDescent="0.25">
      <c r="A130" s="738" t="s">
        <v>695</v>
      </c>
      <c r="B130" s="748"/>
      <c r="C130" s="493"/>
      <c r="D130" s="490" t="s">
        <v>120</v>
      </c>
      <c r="E130" s="495">
        <v>5</v>
      </c>
      <c r="F130" s="436">
        <v>1500</v>
      </c>
      <c r="G130" s="59">
        <f t="shared" si="2"/>
        <v>7500</v>
      </c>
    </row>
    <row r="131" spans="1:9" hidden="1" x14ac:dyDescent="0.25">
      <c r="A131" s="562" t="s">
        <v>231</v>
      </c>
      <c r="B131" s="562"/>
      <c r="C131" s="252"/>
      <c r="D131" s="95" t="s">
        <v>120</v>
      </c>
      <c r="E131" s="169">
        <v>0</v>
      </c>
      <c r="F131" s="362">
        <v>2500</v>
      </c>
      <c r="G131" s="59">
        <f t="shared" ref="G131:G137" si="3">E131*F131</f>
        <v>0</v>
      </c>
    </row>
    <row r="132" spans="1:9" hidden="1" x14ac:dyDescent="0.25">
      <c r="A132" s="562" t="s">
        <v>232</v>
      </c>
      <c r="B132" s="562"/>
      <c r="C132" s="252"/>
      <c r="D132" s="95" t="s">
        <v>121</v>
      </c>
      <c r="E132" s="169">
        <v>0</v>
      </c>
      <c r="F132" s="362">
        <v>500</v>
      </c>
      <c r="G132" s="59">
        <f t="shared" si="3"/>
        <v>0</v>
      </c>
    </row>
    <row r="133" spans="1:9" hidden="1" x14ac:dyDescent="0.25">
      <c r="A133" s="582" t="s">
        <v>233</v>
      </c>
      <c r="B133" s="582"/>
      <c r="C133" s="252"/>
      <c r="D133" s="95" t="s">
        <v>121</v>
      </c>
      <c r="E133" s="360">
        <v>0</v>
      </c>
      <c r="F133" s="362">
        <v>350</v>
      </c>
      <c r="G133" s="59">
        <f t="shared" si="3"/>
        <v>0</v>
      </c>
    </row>
    <row r="134" spans="1:9" hidden="1" x14ac:dyDescent="0.25">
      <c r="A134" s="583" t="s">
        <v>234</v>
      </c>
      <c r="B134" s="583"/>
      <c r="C134" s="252"/>
      <c r="D134" s="95"/>
      <c r="E134" s="361">
        <v>0</v>
      </c>
      <c r="F134" s="361"/>
      <c r="G134" s="59"/>
    </row>
    <row r="135" spans="1:9" hidden="1" x14ac:dyDescent="0.25">
      <c r="A135" s="584" t="s">
        <v>235</v>
      </c>
      <c r="B135" s="584"/>
      <c r="C135" s="251"/>
      <c r="D135" s="191" t="s">
        <v>82</v>
      </c>
      <c r="E135" s="361">
        <v>0</v>
      </c>
      <c r="F135" s="361">
        <v>500</v>
      </c>
      <c r="G135" s="59">
        <f t="shared" si="3"/>
        <v>0</v>
      </c>
    </row>
    <row r="136" spans="1:9" hidden="1" x14ac:dyDescent="0.25">
      <c r="A136" s="584" t="s">
        <v>218</v>
      </c>
      <c r="B136" s="584"/>
      <c r="C136" s="251"/>
      <c r="D136" s="191" t="s">
        <v>82</v>
      </c>
      <c r="E136" s="361">
        <v>0</v>
      </c>
      <c r="F136" s="361">
        <v>300</v>
      </c>
      <c r="G136" s="59">
        <f t="shared" si="3"/>
        <v>0</v>
      </c>
    </row>
    <row r="137" spans="1:9" hidden="1" x14ac:dyDescent="0.25">
      <c r="A137" s="562" t="s">
        <v>236</v>
      </c>
      <c r="B137" s="562"/>
      <c r="C137" s="251"/>
      <c r="D137" s="191" t="s">
        <v>82</v>
      </c>
      <c r="E137" s="169">
        <v>0</v>
      </c>
      <c r="F137" s="362">
        <v>500</v>
      </c>
      <c r="G137" s="59">
        <f t="shared" si="3"/>
        <v>0</v>
      </c>
    </row>
    <row r="138" spans="1:9" x14ac:dyDescent="0.25">
      <c r="A138" s="358"/>
      <c r="B138" s="359"/>
      <c r="C138" s="307"/>
      <c r="D138" s="60"/>
      <c r="E138" s="325"/>
      <c r="F138" s="363"/>
      <c r="G138" s="259">
        <f>SUM(G63:G130)</f>
        <v>297000</v>
      </c>
    </row>
    <row r="139" spans="1:9" x14ac:dyDescent="0.25">
      <c r="E139" s="39"/>
    </row>
    <row r="140" spans="1:9" ht="21.75" customHeight="1" x14ac:dyDescent="0.25">
      <c r="A140" s="616" t="str">
        <f>'патриотика0,369'!A159</f>
        <v xml:space="preserve">Затраты на оплату труда работников, непосредственно НЕ связанных с выполнением работы </v>
      </c>
      <c r="B140" s="616"/>
      <c r="C140" s="616"/>
      <c r="D140" s="616"/>
      <c r="E140" s="616"/>
      <c r="F140" s="616"/>
    </row>
    <row r="141" spans="1:9" x14ac:dyDescent="0.25">
      <c r="A141" s="47"/>
      <c r="B141" s="47"/>
      <c r="C141" s="47"/>
      <c r="D141" s="47"/>
      <c r="E141" s="47"/>
      <c r="F141" s="48">
        <f>D49</f>
        <v>0.36899999999999999</v>
      </c>
    </row>
    <row r="142" spans="1:9" ht="63" customHeight="1" x14ac:dyDescent="0.25">
      <c r="A142" s="558" t="s">
        <v>0</v>
      </c>
      <c r="B142" s="563" t="s">
        <v>1</v>
      </c>
      <c r="C142" s="302"/>
      <c r="D142" s="563" t="s">
        <v>2</v>
      </c>
      <c r="E142" s="555" t="s">
        <v>3</v>
      </c>
      <c r="F142" s="556"/>
      <c r="G142" s="564" t="s">
        <v>35</v>
      </c>
      <c r="H142" s="302" t="s">
        <v>5</v>
      </c>
      <c r="I142" s="563" t="s">
        <v>6</v>
      </c>
    </row>
    <row r="143" spans="1:9" ht="29.25" customHeight="1" x14ac:dyDescent="0.25">
      <c r="A143" s="560"/>
      <c r="B143" s="563"/>
      <c r="C143" s="302"/>
      <c r="D143" s="563"/>
      <c r="E143" s="302" t="s">
        <v>264</v>
      </c>
      <c r="F143" s="302" t="s">
        <v>263</v>
      </c>
      <c r="G143" s="564"/>
      <c r="H143" s="302" t="s">
        <v>49</v>
      </c>
      <c r="I143" s="563"/>
    </row>
    <row r="144" spans="1:9" x14ac:dyDescent="0.25">
      <c r="A144" s="559"/>
      <c r="B144" s="563"/>
      <c r="C144" s="302"/>
      <c r="D144" s="563"/>
      <c r="E144" s="302" t="s">
        <v>4</v>
      </c>
      <c r="F144" s="53"/>
      <c r="G144" s="564"/>
      <c r="H144" s="302" t="s">
        <v>266</v>
      </c>
      <c r="I144" s="563"/>
    </row>
    <row r="145" spans="1:9" x14ac:dyDescent="0.25">
      <c r="A145" s="558">
        <v>1</v>
      </c>
      <c r="B145" s="563">
        <v>2</v>
      </c>
      <c r="C145" s="302"/>
      <c r="D145" s="563">
        <v>3</v>
      </c>
      <c r="E145" s="563" t="s">
        <v>265</v>
      </c>
      <c r="F145" s="563">
        <v>5</v>
      </c>
      <c r="G145" s="564" t="s">
        <v>7</v>
      </c>
      <c r="H145" s="302" t="s">
        <v>50</v>
      </c>
      <c r="I145" s="563" t="s">
        <v>51</v>
      </c>
    </row>
    <row r="146" spans="1:9" x14ac:dyDescent="0.25">
      <c r="A146" s="559"/>
      <c r="B146" s="563"/>
      <c r="C146" s="302"/>
      <c r="D146" s="563"/>
      <c r="E146" s="563"/>
      <c r="F146" s="563"/>
      <c r="G146" s="564"/>
      <c r="H146" s="54">
        <v>1774.4</v>
      </c>
      <c r="I146" s="563"/>
    </row>
    <row r="147" spans="1:9" x14ac:dyDescent="0.25">
      <c r="A147" s="365" t="s">
        <v>185</v>
      </c>
      <c r="B147" s="88">
        <f>'патриотика0,369'!B166</f>
        <v>82921.14</v>
      </c>
      <c r="C147" s="88"/>
      <c r="D147" s="302">
        <f>1*F141</f>
        <v>0.36899999999999999</v>
      </c>
      <c r="E147" s="56">
        <f>D147*1774.4</f>
        <v>654.75360000000001</v>
      </c>
      <c r="F147" s="57">
        <v>1</v>
      </c>
      <c r="G147" s="58">
        <f>E147/F147</f>
        <v>654.75360000000001</v>
      </c>
      <c r="H147" s="56">
        <f>B147*1.302/1774.4*12</f>
        <v>730.13970432822362</v>
      </c>
      <c r="I147" s="56">
        <f>G147*H147</f>
        <v>478061.59991183999</v>
      </c>
    </row>
    <row r="148" spans="1:9" x14ac:dyDescent="0.25">
      <c r="A148" s="364" t="s">
        <v>139</v>
      </c>
      <c r="B148" s="88">
        <f>'патриотика0,369'!B167</f>
        <v>29422</v>
      </c>
      <c r="C148" s="172"/>
      <c r="D148" s="302">
        <f>1*F141</f>
        <v>0.36899999999999999</v>
      </c>
      <c r="E148" s="56">
        <f>D148*1774.4</f>
        <v>654.75360000000001</v>
      </c>
      <c r="F148" s="57">
        <v>1</v>
      </c>
      <c r="G148" s="58">
        <f t="shared" ref="G148:G150" si="4">E148/F148</f>
        <v>654.75360000000001</v>
      </c>
      <c r="H148" s="56">
        <f>B148*1.302/1774.4*12</f>
        <v>259.06747520288548</v>
      </c>
      <c r="I148" s="56">
        <f>G148*H148</f>
        <v>169625.362032</v>
      </c>
    </row>
    <row r="149" spans="1:9" x14ac:dyDescent="0.25">
      <c r="A149" s="364" t="s">
        <v>85</v>
      </c>
      <c r="B149" s="88">
        <f>'патриотика0,369'!B168</f>
        <v>29422</v>
      </c>
      <c r="C149" s="58"/>
      <c r="D149" s="302">
        <f>0.5*F141</f>
        <v>0.1845</v>
      </c>
      <c r="E149" s="56">
        <f>D149*1774.4</f>
        <v>327.3768</v>
      </c>
      <c r="F149" s="57">
        <v>1</v>
      </c>
      <c r="G149" s="58">
        <f t="shared" si="4"/>
        <v>327.3768</v>
      </c>
      <c r="H149" s="56">
        <f>B149*1.302/1774.4*12</f>
        <v>259.06747520288548</v>
      </c>
      <c r="I149" s="56">
        <f>G149*H149</f>
        <v>84812.681016000002</v>
      </c>
    </row>
    <row r="150" spans="1:9" x14ac:dyDescent="0.25">
      <c r="A150" s="366" t="s">
        <v>140</v>
      </c>
      <c r="B150" s="88">
        <f>'патриотика0,369'!B169</f>
        <v>29422</v>
      </c>
      <c r="C150" s="304"/>
      <c r="D150" s="302">
        <f>1*F141</f>
        <v>0.36899999999999999</v>
      </c>
      <c r="E150" s="56">
        <f>D150*1774.4</f>
        <v>654.75360000000001</v>
      </c>
      <c r="F150" s="57">
        <v>1</v>
      </c>
      <c r="G150" s="58">
        <f t="shared" si="4"/>
        <v>654.75360000000001</v>
      </c>
      <c r="H150" s="56">
        <f>B150*1.302/1774.4*12</f>
        <v>259.06747520288548</v>
      </c>
      <c r="I150" s="56">
        <f>G150*H150</f>
        <v>169625.362032</v>
      </c>
    </row>
    <row r="151" spans="1:9" ht="15" customHeight="1" x14ac:dyDescent="0.25">
      <c r="A151" s="603" t="s">
        <v>28</v>
      </c>
      <c r="B151" s="604"/>
      <c r="C151" s="604"/>
      <c r="D151" s="604"/>
      <c r="E151" s="604"/>
      <c r="F151" s="605"/>
      <c r="G151" s="298"/>
      <c r="H151" s="298"/>
      <c r="I151" s="367">
        <f>SUM(I147:I150)</f>
        <v>902125.00499183999</v>
      </c>
    </row>
    <row r="152" spans="1:9" x14ac:dyDescent="0.25">
      <c r="A152" s="153"/>
      <c r="B152" s="153"/>
      <c r="C152" s="153"/>
      <c r="D152" s="153"/>
      <c r="E152" s="153"/>
      <c r="F152" s="153"/>
      <c r="G152" s="176"/>
    </row>
    <row r="153" spans="1:9" x14ac:dyDescent="0.25">
      <c r="A153" s="153"/>
      <c r="B153" s="153"/>
      <c r="C153" s="153"/>
      <c r="D153" s="153"/>
      <c r="E153" s="153"/>
      <c r="F153" s="153"/>
      <c r="G153" s="176"/>
    </row>
    <row r="154" spans="1:9" s="45" customFormat="1" ht="14.45" customHeight="1" x14ac:dyDescent="0.25">
      <c r="A154" s="557" t="s">
        <v>304</v>
      </c>
      <c r="B154" s="557"/>
      <c r="C154" s="557"/>
      <c r="D154" s="557"/>
      <c r="E154" s="557"/>
      <c r="F154" s="557"/>
      <c r="G154" s="557"/>
      <c r="H154" s="557"/>
    </row>
    <row r="155" spans="1:9" s="45" customFormat="1" ht="14.45" customHeight="1" x14ac:dyDescent="0.25">
      <c r="A155" s="566" t="s">
        <v>58</v>
      </c>
      <c r="B155" s="569" t="s">
        <v>153</v>
      </c>
      <c r="C155" s="570"/>
      <c r="D155" s="575"/>
      <c r="E155" s="576"/>
      <c r="F155" s="577"/>
      <c r="G155" s="213"/>
      <c r="H155" s="213"/>
    </row>
    <row r="156" spans="1:9" s="45" customFormat="1" ht="14.45" customHeight="1" x14ac:dyDescent="0.25">
      <c r="A156" s="567"/>
      <c r="B156" s="571"/>
      <c r="C156" s="572"/>
      <c r="D156" s="578" t="s">
        <v>157</v>
      </c>
      <c r="E156" s="567" t="s">
        <v>163</v>
      </c>
      <c r="F156" s="567" t="s">
        <v>6</v>
      </c>
    </row>
    <row r="157" spans="1:9" s="45" customFormat="1" x14ac:dyDescent="0.25">
      <c r="A157" s="568"/>
      <c r="B157" s="573"/>
      <c r="C157" s="574"/>
      <c r="D157" s="579"/>
      <c r="E157" s="568"/>
      <c r="F157" s="568"/>
    </row>
    <row r="158" spans="1:9" s="45" customFormat="1" x14ac:dyDescent="0.25">
      <c r="A158" s="292">
        <v>1</v>
      </c>
      <c r="B158" s="580">
        <v>2</v>
      </c>
      <c r="C158" s="581"/>
      <c r="D158" s="292">
        <v>5</v>
      </c>
      <c r="E158" s="292">
        <v>6</v>
      </c>
      <c r="F158" s="292">
        <v>7</v>
      </c>
    </row>
    <row r="159" spans="1:9" s="45" customFormat="1" x14ac:dyDescent="0.25">
      <c r="A159" s="290" t="s">
        <v>160</v>
      </c>
      <c r="B159" s="292">
        <f>D148</f>
        <v>0.36899999999999999</v>
      </c>
      <c r="C159" s="291"/>
      <c r="D159" s="151">
        <v>8780.94</v>
      </c>
      <c r="E159" s="184">
        <f t="shared" ref="E159:E161" si="5">D159*30.2%</f>
        <v>2651.8438799999999</v>
      </c>
      <c r="F159" s="184">
        <f>(D159+E159)*B159</f>
        <v>4218.6972517200002</v>
      </c>
    </row>
    <row r="160" spans="1:9" s="45" customFormat="1" x14ac:dyDescent="0.25">
      <c r="A160" s="290" t="s">
        <v>161</v>
      </c>
      <c r="B160" s="292">
        <f>D149</f>
        <v>0.1845</v>
      </c>
      <c r="C160" s="291"/>
      <c r="D160" s="151">
        <v>18467.580000000002</v>
      </c>
      <c r="E160" s="184">
        <f t="shared" si="5"/>
        <v>5577.2091600000003</v>
      </c>
      <c r="F160" s="184">
        <f>(D160+E160)*B159</f>
        <v>8872.52720004</v>
      </c>
    </row>
    <row r="161" spans="1:7" s="45" customFormat="1" x14ac:dyDescent="0.25">
      <c r="A161" s="290" t="s">
        <v>140</v>
      </c>
      <c r="B161" s="292">
        <f>D150</f>
        <v>0.36899999999999999</v>
      </c>
      <c r="C161" s="291"/>
      <c r="D161" s="151">
        <v>18474.88</v>
      </c>
      <c r="E161" s="184">
        <f t="shared" si="5"/>
        <v>5579.4137600000004</v>
      </c>
      <c r="F161" s="184">
        <f t="shared" ref="F161" si="6">(D161+E161)*B161</f>
        <v>8876.0343974400002</v>
      </c>
    </row>
    <row r="162" spans="1:7" s="45" customFormat="1" x14ac:dyDescent="0.25">
      <c r="A162" s="154"/>
      <c r="B162" s="288"/>
      <c r="C162" s="155"/>
      <c r="D162" s="128">
        <v>0</v>
      </c>
      <c r="E162" s="128">
        <v>0</v>
      </c>
      <c r="F162" s="267">
        <f>SUM(F159:F161)-0.13</f>
        <v>21967.128849199999</v>
      </c>
    </row>
    <row r="163" spans="1:7" x14ac:dyDescent="0.25">
      <c r="A163" s="153"/>
      <c r="B163" s="153"/>
      <c r="C163" s="153"/>
      <c r="D163" s="153"/>
      <c r="E163" s="153"/>
      <c r="F163" s="153"/>
      <c r="G163" s="176"/>
    </row>
    <row r="164" spans="1:7" x14ac:dyDescent="0.25">
      <c r="A164" s="622" t="s">
        <v>108</v>
      </c>
      <c r="B164" s="622"/>
      <c r="C164" s="622"/>
      <c r="D164" s="622"/>
      <c r="E164" s="622"/>
      <c r="F164" s="622"/>
    </row>
    <row r="165" spans="1:7" ht="38.25" x14ac:dyDescent="0.25">
      <c r="A165" s="290" t="s">
        <v>109</v>
      </c>
      <c r="B165" s="292" t="s">
        <v>110</v>
      </c>
      <c r="C165" s="316"/>
      <c r="D165" s="292" t="s">
        <v>114</v>
      </c>
      <c r="E165" s="292" t="s">
        <v>111</v>
      </c>
      <c r="F165" s="292" t="s">
        <v>112</v>
      </c>
      <c r="G165" s="305" t="s">
        <v>6</v>
      </c>
    </row>
    <row r="166" spans="1:7" x14ac:dyDescent="0.25">
      <c r="A166" s="290">
        <v>1</v>
      </c>
      <c r="B166" s="292">
        <v>2</v>
      </c>
      <c r="C166" s="316"/>
      <c r="D166" s="292">
        <v>3</v>
      </c>
      <c r="E166" s="292">
        <v>4</v>
      </c>
      <c r="F166" s="292">
        <v>5</v>
      </c>
      <c r="G166" s="268" t="s">
        <v>300</v>
      </c>
    </row>
    <row r="167" spans="1:7" x14ac:dyDescent="0.25">
      <c r="A167" s="292" t="s">
        <v>113</v>
      </c>
      <c r="B167" s="292">
        <v>1</v>
      </c>
      <c r="C167" s="292"/>
      <c r="D167" s="292">
        <v>12</v>
      </c>
      <c r="E167" s="292">
        <v>75</v>
      </c>
      <c r="F167" s="112">
        <f>B167*D167*E167</f>
        <v>900</v>
      </c>
      <c r="G167" s="90">
        <f>F167*F141</f>
        <v>332.1</v>
      </c>
    </row>
    <row r="168" spans="1:7" ht="14.45" customHeight="1" x14ac:dyDescent="0.25">
      <c r="A168" s="127"/>
      <c r="B168" s="127"/>
      <c r="C168" s="127"/>
      <c r="D168" s="127"/>
      <c r="E168" s="288" t="s">
        <v>86</v>
      </c>
      <c r="F168" s="128"/>
      <c r="G168" s="269">
        <f>G167</f>
        <v>332.1</v>
      </c>
    </row>
    <row r="169" spans="1:7" x14ac:dyDescent="0.25">
      <c r="A169" s="50"/>
      <c r="B169" s="49"/>
      <c r="C169" s="49"/>
      <c r="D169" s="49"/>
      <c r="E169" s="49"/>
      <c r="F169" s="49"/>
    </row>
    <row r="170" spans="1:7" ht="15.75" x14ac:dyDescent="0.25">
      <c r="A170" s="561" t="s">
        <v>12</v>
      </c>
      <c r="B170" s="561"/>
      <c r="C170" s="561"/>
      <c r="D170" s="561"/>
      <c r="E170" s="561"/>
      <c r="F170" s="561"/>
    </row>
    <row r="171" spans="1:7" x14ac:dyDescent="0.25">
      <c r="A171" s="623"/>
      <c r="B171" s="623"/>
      <c r="C171" s="623"/>
      <c r="D171" s="623"/>
      <c r="E171" s="623"/>
      <c r="F171" s="49"/>
    </row>
    <row r="172" spans="1:7" x14ac:dyDescent="0.25">
      <c r="A172" s="49"/>
      <c r="B172" s="49"/>
      <c r="C172" s="49"/>
      <c r="D172" s="49"/>
      <c r="E172" s="49"/>
      <c r="F172" s="51">
        <f>F141</f>
        <v>0.36899999999999999</v>
      </c>
    </row>
    <row r="173" spans="1:7" x14ac:dyDescent="0.25">
      <c r="A173" s="565" t="s">
        <v>13</v>
      </c>
      <c r="B173" s="565" t="s">
        <v>11</v>
      </c>
      <c r="C173" s="309"/>
      <c r="D173" s="565" t="s">
        <v>14</v>
      </c>
      <c r="E173" s="565" t="s">
        <v>15</v>
      </c>
      <c r="F173" s="565" t="s">
        <v>6</v>
      </c>
    </row>
    <row r="174" spans="1:7" x14ac:dyDescent="0.25">
      <c r="A174" s="565"/>
      <c r="B174" s="565"/>
      <c r="C174" s="309"/>
      <c r="D174" s="565"/>
      <c r="E174" s="565"/>
      <c r="F174" s="565"/>
    </row>
    <row r="175" spans="1:7" x14ac:dyDescent="0.25">
      <c r="A175" s="309">
        <v>1</v>
      </c>
      <c r="B175" s="309">
        <v>2</v>
      </c>
      <c r="C175" s="309"/>
      <c r="D175" s="309">
        <v>3</v>
      </c>
      <c r="E175" s="309">
        <v>4</v>
      </c>
      <c r="F175" s="309" t="s">
        <v>87</v>
      </c>
    </row>
    <row r="176" spans="1:7" ht="15.75" x14ac:dyDescent="0.25">
      <c r="A176" s="290" t="str">
        <f>'патриотика0,369'!A198</f>
        <v>Теплоэнергия</v>
      </c>
      <c r="B176" s="331" t="s">
        <v>18</v>
      </c>
      <c r="C176" s="292"/>
      <c r="D176" s="112">
        <f>'патриотика0,369'!D198</f>
        <v>20.294999999999998</v>
      </c>
      <c r="E176" s="112">
        <f>'патриотика0,369'!E198</f>
        <v>3386.32</v>
      </c>
      <c r="F176" s="58">
        <f>D176*E176</f>
        <v>68725.364399999991</v>
      </c>
    </row>
    <row r="177" spans="1:7" ht="18.75" x14ac:dyDescent="0.25">
      <c r="A177" s="290" t="str">
        <f>'патриотика0,369'!A199</f>
        <v xml:space="preserve">Водоснабжение </v>
      </c>
      <c r="B177" s="331" t="s">
        <v>191</v>
      </c>
      <c r="C177" s="292"/>
      <c r="D177" s="112">
        <f>'патриотика0,369'!D199</f>
        <v>39.224699999999999</v>
      </c>
      <c r="E177" s="112">
        <f>'патриотика0,369'!E199</f>
        <v>60.95</v>
      </c>
      <c r="F177" s="58">
        <f t="shared" ref="F177:F181" si="7">D177*E177</f>
        <v>2390.745465</v>
      </c>
    </row>
    <row r="178" spans="1:7" ht="18.75" x14ac:dyDescent="0.25">
      <c r="A178" s="290" t="str">
        <f>'патриотика0,369'!A200</f>
        <v>Водоотведение (септик)</v>
      </c>
      <c r="B178" s="331" t="s">
        <v>52</v>
      </c>
      <c r="C178" s="292"/>
      <c r="D178" s="112">
        <f>'патриотика0,369'!D200</f>
        <v>0.73799999999999999</v>
      </c>
      <c r="E178" s="112">
        <f>'патриотика0,369'!E200</f>
        <v>10000</v>
      </c>
      <c r="F178" s="58">
        <f t="shared" si="7"/>
        <v>7380</v>
      </c>
    </row>
    <row r="179" spans="1:7" ht="15.75" x14ac:dyDescent="0.25">
      <c r="A179" s="290" t="str">
        <f>'патриотика0,369'!A201</f>
        <v>Электроэнергия</v>
      </c>
      <c r="B179" s="331" t="s">
        <v>81</v>
      </c>
      <c r="C179" s="292"/>
      <c r="D179" s="112">
        <f>'патриотика0,369'!D201</f>
        <v>2.214</v>
      </c>
      <c r="E179" s="112">
        <f>'патриотика0,369'!E201</f>
        <v>7224.49</v>
      </c>
      <c r="F179" s="58">
        <f t="shared" si="7"/>
        <v>15995.020859999999</v>
      </c>
    </row>
    <row r="180" spans="1:7" x14ac:dyDescent="0.25">
      <c r="A180" s="290" t="str">
        <f>'патриотика0,369'!A202</f>
        <v>ТКО</v>
      </c>
      <c r="B180" s="309" t="s">
        <v>22</v>
      </c>
      <c r="C180" s="292"/>
      <c r="D180" s="112">
        <f>'патриотика0,369'!D202</f>
        <v>3.3209999999999997</v>
      </c>
      <c r="E180" s="112">
        <f>'патриотика0,369'!E202</f>
        <v>2134.85</v>
      </c>
      <c r="F180" s="58">
        <f t="shared" si="7"/>
        <v>7089.8368499999988</v>
      </c>
    </row>
    <row r="181" spans="1:7" ht="15.75" x14ac:dyDescent="0.25">
      <c r="A181" s="290" t="str">
        <f>'патриотика0,369'!A203</f>
        <v>Электроэнергия (резерв)</v>
      </c>
      <c r="B181" s="331" t="s">
        <v>81</v>
      </c>
      <c r="C181" s="292"/>
      <c r="D181" s="112">
        <f>'патриотика0,369'!D203</f>
        <v>0.36899999999999999</v>
      </c>
      <c r="E181" s="112">
        <f>'патриотика0,369'!E203</f>
        <v>7827.32</v>
      </c>
      <c r="F181" s="58">
        <f t="shared" si="7"/>
        <v>2888.2810799999997</v>
      </c>
    </row>
    <row r="182" spans="1:7" ht="18.75" x14ac:dyDescent="0.25">
      <c r="A182" s="458" t="str">
        <f>A178</f>
        <v>Водоотведение (септик)</v>
      </c>
      <c r="B182" s="460" t="s">
        <v>52</v>
      </c>
      <c r="C182" s="458"/>
      <c r="D182" s="112">
        <v>0.36899999999999999</v>
      </c>
      <c r="E182" s="112">
        <v>6000</v>
      </c>
      <c r="F182" s="58">
        <f>D182*E182</f>
        <v>2214</v>
      </c>
    </row>
    <row r="183" spans="1:7" x14ac:dyDescent="0.25">
      <c r="A183" s="626"/>
      <c r="B183" s="627"/>
      <c r="C183" s="627"/>
      <c r="D183" s="627"/>
      <c r="E183" s="628"/>
      <c r="F183" s="270">
        <f>SUM(F176:F182)</f>
        <v>106683.24865499999</v>
      </c>
    </row>
    <row r="184" spans="1:7" ht="15" hidden="1" customHeight="1" x14ac:dyDescent="0.25">
      <c r="A184" s="629" t="s">
        <v>42</v>
      </c>
      <c r="B184" s="629"/>
      <c r="C184" s="629"/>
      <c r="D184" s="629"/>
      <c r="E184" s="629"/>
      <c r="F184" s="629"/>
    </row>
    <row r="185" spans="1:7" hidden="1" x14ac:dyDescent="0.25">
      <c r="A185" s="300" t="s">
        <v>79</v>
      </c>
      <c r="B185" s="44" t="s">
        <v>189</v>
      </c>
      <c r="C185" s="44"/>
      <c r="D185" s="44"/>
      <c r="E185" s="45"/>
      <c r="F185" s="45"/>
    </row>
    <row r="186" spans="1:7" hidden="1" x14ac:dyDescent="0.25">
      <c r="D186" s="46">
        <f>F172</f>
        <v>0.36899999999999999</v>
      </c>
    </row>
    <row r="187" spans="1:7" hidden="1" x14ac:dyDescent="0.25">
      <c r="A187" s="555" t="s">
        <v>105</v>
      </c>
      <c r="B187" s="556"/>
      <c r="C187" s="302"/>
      <c r="D187" s="302" t="s">
        <v>11</v>
      </c>
      <c r="E187" s="302" t="s">
        <v>46</v>
      </c>
      <c r="F187" s="302" t="s">
        <v>15</v>
      </c>
      <c r="G187" s="295" t="s">
        <v>6</v>
      </c>
    </row>
    <row r="188" spans="1:7" hidden="1" x14ac:dyDescent="0.25">
      <c r="A188" s="555">
        <v>1</v>
      </c>
      <c r="B188" s="556"/>
      <c r="C188" s="297"/>
      <c r="D188" s="302">
        <v>2</v>
      </c>
      <c r="E188" s="302">
        <v>3</v>
      </c>
      <c r="F188" s="302">
        <v>4</v>
      </c>
      <c r="G188" s="64" t="s">
        <v>66</v>
      </c>
    </row>
    <row r="189" spans="1:7" hidden="1" x14ac:dyDescent="0.25">
      <c r="A189" s="624" t="str">
        <f>A53</f>
        <v>Суточные</v>
      </c>
      <c r="B189" s="625"/>
      <c r="C189" s="308"/>
      <c r="D189" s="302" t="str">
        <f>D53</f>
        <v>сутки</v>
      </c>
      <c r="E189" s="226">
        <f>D186</f>
        <v>0.36899999999999999</v>
      </c>
      <c r="F189" s="305">
        <f>F53</f>
        <v>450</v>
      </c>
      <c r="G189" s="64">
        <f>E189*F189</f>
        <v>166.05</v>
      </c>
    </row>
    <row r="190" spans="1:7" hidden="1" x14ac:dyDescent="0.25">
      <c r="A190" s="624" t="str">
        <f>A54</f>
        <v>Проезд</v>
      </c>
      <c r="B190" s="625"/>
      <c r="C190" s="308"/>
      <c r="D190" s="302" t="str">
        <f>D54</f>
        <v xml:space="preserve">Ед. </v>
      </c>
      <c r="E190" s="226">
        <v>0.33500000000000002</v>
      </c>
      <c r="F190" s="305">
        <f>F54</f>
        <v>6000</v>
      </c>
      <c r="G190" s="64">
        <f>E190*F190</f>
        <v>2010.0000000000002</v>
      </c>
    </row>
    <row r="191" spans="1:7" hidden="1" x14ac:dyDescent="0.25">
      <c r="A191" s="624" t="str">
        <f>A55</f>
        <v xml:space="preserve">Проживание </v>
      </c>
      <c r="B191" s="625"/>
      <c r="C191" s="308"/>
      <c r="D191" s="302" t="str">
        <f>D55</f>
        <v>сутки</v>
      </c>
      <c r="E191" s="226">
        <v>0.33500000000000002</v>
      </c>
      <c r="F191" s="305">
        <f>F55</f>
        <v>1610.52</v>
      </c>
      <c r="G191" s="64">
        <f>E191*F191-0.25</f>
        <v>539.27420000000006</v>
      </c>
    </row>
    <row r="192" spans="1:7" hidden="1" x14ac:dyDescent="0.25">
      <c r="A192" s="611" t="s">
        <v>104</v>
      </c>
      <c r="B192" s="612"/>
      <c r="C192" s="301"/>
      <c r="D192" s="60"/>
      <c r="E192" s="65"/>
      <c r="F192" s="65"/>
      <c r="G192" s="260">
        <v>0</v>
      </c>
    </row>
    <row r="193" spans="1:7" x14ac:dyDescent="0.25">
      <c r="A193" s="621" t="s">
        <v>36</v>
      </c>
      <c r="B193" s="621"/>
      <c r="C193" s="621"/>
      <c r="D193" s="621"/>
      <c r="E193" s="621"/>
      <c r="F193" s="621"/>
      <c r="G193" s="174"/>
    </row>
    <row r="194" spans="1:7" x14ac:dyDescent="0.25">
      <c r="D194" s="52">
        <f>D186</f>
        <v>0.36899999999999999</v>
      </c>
    </row>
    <row r="195" spans="1:7" x14ac:dyDescent="0.25">
      <c r="A195" s="563" t="s">
        <v>24</v>
      </c>
      <c r="B195" s="563" t="s">
        <v>11</v>
      </c>
      <c r="C195" s="302"/>
      <c r="D195" s="563" t="s">
        <v>46</v>
      </c>
      <c r="E195" s="563" t="s">
        <v>15</v>
      </c>
      <c r="F195" s="618" t="s">
        <v>175</v>
      </c>
      <c r="G195" s="619" t="s">
        <v>6</v>
      </c>
    </row>
    <row r="196" spans="1:7" ht="3.6" customHeight="1" x14ac:dyDescent="0.25">
      <c r="A196" s="563"/>
      <c r="B196" s="563"/>
      <c r="C196" s="302"/>
      <c r="D196" s="563"/>
      <c r="E196" s="563"/>
      <c r="F196" s="618"/>
      <c r="G196" s="619"/>
    </row>
    <row r="197" spans="1:7" x14ac:dyDescent="0.25">
      <c r="A197" s="302">
        <v>1</v>
      </c>
      <c r="B197" s="302">
        <v>2</v>
      </c>
      <c r="C197" s="302"/>
      <c r="D197" s="302">
        <v>3</v>
      </c>
      <c r="E197" s="302">
        <v>4</v>
      </c>
      <c r="F197" s="302">
        <v>5</v>
      </c>
      <c r="G197" s="64" t="s">
        <v>67</v>
      </c>
    </row>
    <row r="198" spans="1:7" ht="15.75" x14ac:dyDescent="0.25">
      <c r="A198" s="401" t="s">
        <v>248</v>
      </c>
      <c r="B198" s="292" t="s">
        <v>190</v>
      </c>
      <c r="C198" s="292"/>
      <c r="D198" s="383">
        <f>'патриотика0,369'!D230</f>
        <v>0</v>
      </c>
      <c r="E198" s="375">
        <f>'патриотика0,369'!E230</f>
        <v>6.6</v>
      </c>
      <c r="F198" s="302">
        <v>12</v>
      </c>
      <c r="G198" s="64">
        <f t="shared" ref="G198:G201" si="8">D198*E198*F198</f>
        <v>0</v>
      </c>
    </row>
    <row r="199" spans="1:7" ht="15.75" x14ac:dyDescent="0.25">
      <c r="A199" s="401" t="s">
        <v>249</v>
      </c>
      <c r="B199" s="292" t="s">
        <v>190</v>
      </c>
      <c r="C199" s="292"/>
      <c r="D199" s="383">
        <f>'патриотика0,369'!D231</f>
        <v>3.6973799999999999</v>
      </c>
      <c r="E199" s="375">
        <f>'патриотика0,369'!E231</f>
        <v>15</v>
      </c>
      <c r="F199" s="302">
        <v>12</v>
      </c>
      <c r="G199" s="64">
        <f t="shared" si="8"/>
        <v>665.52839999999992</v>
      </c>
    </row>
    <row r="200" spans="1:7" ht="15.75" x14ac:dyDescent="0.25">
      <c r="A200" s="401" t="s">
        <v>174</v>
      </c>
      <c r="B200" s="292" t="s">
        <v>190</v>
      </c>
      <c r="C200" s="292"/>
      <c r="D200" s="383">
        <f>'патриотика0,369'!D232</f>
        <v>0.36899999999999999</v>
      </c>
      <c r="E200" s="375">
        <f>'патриотика0,369'!E232</f>
        <v>2183</v>
      </c>
      <c r="F200" s="302">
        <v>12</v>
      </c>
      <c r="G200" s="64">
        <f t="shared" si="8"/>
        <v>9666.3240000000005</v>
      </c>
    </row>
    <row r="201" spans="1:7" ht="15.75" x14ac:dyDescent="0.25">
      <c r="A201" s="401" t="s">
        <v>250</v>
      </c>
      <c r="B201" s="292" t="s">
        <v>190</v>
      </c>
      <c r="C201" s="292"/>
      <c r="D201" s="383">
        <f>'патриотика0,369'!D233</f>
        <v>0.36899999999999999</v>
      </c>
      <c r="E201" s="375">
        <f>'патриотика0,369'!E233</f>
        <v>8166.67</v>
      </c>
      <c r="F201" s="302">
        <v>12</v>
      </c>
      <c r="G201" s="64">
        <f t="shared" si="8"/>
        <v>36162.014759999998</v>
      </c>
    </row>
    <row r="202" spans="1:7" ht="15.75" x14ac:dyDescent="0.25">
      <c r="A202" s="401" t="s">
        <v>251</v>
      </c>
      <c r="B202" s="292" t="s">
        <v>190</v>
      </c>
      <c r="C202" s="292"/>
      <c r="D202" s="383">
        <f>'патриотика0,369'!D234</f>
        <v>1.845</v>
      </c>
      <c r="E202" s="375">
        <f>'патриотика0,369'!E234</f>
        <v>424</v>
      </c>
      <c r="F202" s="302">
        <v>1</v>
      </c>
      <c r="G202" s="64">
        <f>D202*E202*F202+0.13</f>
        <v>782.41</v>
      </c>
    </row>
    <row r="203" spans="1:7" x14ac:dyDescent="0.25">
      <c r="A203" s="620" t="s">
        <v>26</v>
      </c>
      <c r="B203" s="620"/>
      <c r="C203" s="620"/>
      <c r="D203" s="620"/>
      <c r="E203" s="620"/>
      <c r="F203" s="620"/>
      <c r="G203" s="266">
        <f>SUM(G198:G202)</f>
        <v>47276.277159999998</v>
      </c>
    </row>
    <row r="204" spans="1:7" x14ac:dyDescent="0.25">
      <c r="A204" s="621" t="s">
        <v>53</v>
      </c>
      <c r="B204" s="621"/>
      <c r="C204" s="621"/>
      <c r="D204" s="621"/>
      <c r="E204" s="621"/>
      <c r="F204" s="621"/>
    </row>
    <row r="205" spans="1:7" x14ac:dyDescent="0.25">
      <c r="D205" s="52">
        <f>D194</f>
        <v>0.36899999999999999</v>
      </c>
    </row>
    <row r="206" spans="1:7" x14ac:dyDescent="0.25">
      <c r="A206" s="563" t="s">
        <v>192</v>
      </c>
      <c r="B206" s="563" t="s">
        <v>11</v>
      </c>
      <c r="C206" s="302"/>
      <c r="D206" s="563" t="s">
        <v>46</v>
      </c>
      <c r="E206" s="563" t="s">
        <v>15</v>
      </c>
      <c r="F206" s="563" t="s">
        <v>25</v>
      </c>
      <c r="G206" s="599" t="s">
        <v>6</v>
      </c>
    </row>
    <row r="207" spans="1:7" hidden="1" x14ac:dyDescent="0.25">
      <c r="A207" s="563"/>
      <c r="B207" s="563"/>
      <c r="C207" s="302"/>
      <c r="D207" s="563"/>
      <c r="E207" s="563"/>
      <c r="F207" s="563"/>
      <c r="G207" s="600"/>
    </row>
    <row r="208" spans="1:7" x14ac:dyDescent="0.25">
      <c r="A208" s="302">
        <v>1</v>
      </c>
      <c r="B208" s="302">
        <v>2</v>
      </c>
      <c r="C208" s="302"/>
      <c r="D208" s="302">
        <v>3</v>
      </c>
      <c r="E208" s="302">
        <v>4</v>
      </c>
      <c r="F208" s="302">
        <v>5</v>
      </c>
      <c r="G208" s="59" t="s">
        <v>68</v>
      </c>
    </row>
    <row r="209" spans="1:7" hidden="1" x14ac:dyDescent="0.25">
      <c r="A209" s="126" t="s">
        <v>203</v>
      </c>
      <c r="B209" s="302" t="s">
        <v>120</v>
      </c>
      <c r="C209" s="302"/>
      <c r="D209" s="302">
        <v>0</v>
      </c>
      <c r="E209" s="302">
        <v>0</v>
      </c>
      <c r="F209" s="302">
        <v>1</v>
      </c>
      <c r="G209" s="59">
        <f>D209*E209</f>
        <v>0</v>
      </c>
    </row>
    <row r="210" spans="1:7" x14ac:dyDescent="0.25">
      <c r="A210" s="55" t="s">
        <v>176</v>
      </c>
      <c r="B210" s="302" t="s">
        <v>22</v>
      </c>
      <c r="C210" s="302"/>
      <c r="D210" s="302">
        <f>1*D205</f>
        <v>0.36899999999999999</v>
      </c>
      <c r="E210" s="305">
        <v>20000</v>
      </c>
      <c r="F210" s="302">
        <v>1</v>
      </c>
      <c r="G210" s="59">
        <f>D210*E210*F210</f>
        <v>7380</v>
      </c>
    </row>
    <row r="211" spans="1:7" x14ac:dyDescent="0.25">
      <c r="A211" s="637" t="s">
        <v>54</v>
      </c>
      <c r="B211" s="638"/>
      <c r="C211" s="638"/>
      <c r="D211" s="638"/>
      <c r="E211" s="638"/>
      <c r="F211" s="639"/>
      <c r="G211" s="273">
        <f>SUM(G209:G210)</f>
        <v>7380</v>
      </c>
    </row>
    <row r="212" spans="1:7" x14ac:dyDescent="0.25">
      <c r="A212" s="621" t="s">
        <v>19</v>
      </c>
      <c r="B212" s="621"/>
      <c r="C212" s="621"/>
      <c r="D212" s="621"/>
      <c r="E212" s="621"/>
      <c r="F212" s="621"/>
    </row>
    <row r="213" spans="1:7" x14ac:dyDescent="0.25">
      <c r="A213" s="640" t="s">
        <v>20</v>
      </c>
      <c r="B213" s="640"/>
      <c r="C213" s="640"/>
      <c r="D213" s="640"/>
      <c r="E213" s="640"/>
      <c r="F213" s="640"/>
    </row>
    <row r="214" spans="1:7" x14ac:dyDescent="0.25">
      <c r="D214" s="52">
        <f>D205</f>
        <v>0.36899999999999999</v>
      </c>
    </row>
    <row r="215" spans="1:7" x14ac:dyDescent="0.25">
      <c r="A215" s="563" t="s">
        <v>21</v>
      </c>
      <c r="B215" s="563" t="s">
        <v>11</v>
      </c>
      <c r="C215" s="302"/>
      <c r="D215" s="563" t="s">
        <v>14</v>
      </c>
      <c r="E215" s="563" t="s">
        <v>15</v>
      </c>
      <c r="F215" s="563" t="s">
        <v>6</v>
      </c>
    </row>
    <row r="216" spans="1:7" x14ac:dyDescent="0.25">
      <c r="A216" s="563"/>
      <c r="B216" s="563"/>
      <c r="C216" s="302"/>
      <c r="D216" s="563"/>
      <c r="E216" s="563"/>
      <c r="F216" s="563"/>
    </row>
    <row r="217" spans="1:7" x14ac:dyDescent="0.25">
      <c r="A217" s="303">
        <v>1</v>
      </c>
      <c r="B217" s="303">
        <v>2</v>
      </c>
      <c r="C217" s="303"/>
      <c r="D217" s="303">
        <v>3</v>
      </c>
      <c r="E217" s="303">
        <v>7</v>
      </c>
      <c r="F217" s="303" t="s">
        <v>178</v>
      </c>
    </row>
    <row r="218" spans="1:7" ht="30" x14ac:dyDescent="0.25">
      <c r="A218" s="438" t="str">
        <f>'патриотика0,369'!A249</f>
        <v>текущий ремонт отмостки и системы отвода дождевой воды здания МБУ "МЦ "АУРУМ"</v>
      </c>
      <c r="B218" s="344" t="str">
        <f t="shared" ref="B218:B219" si="9">$B$210</f>
        <v>договор</v>
      </c>
      <c r="C218" s="345"/>
      <c r="D218" s="345">
        <f>'патриотика0,369'!D249</f>
        <v>0.36899999999999999</v>
      </c>
      <c r="E218" s="345">
        <f>'патриотика0,369'!E249</f>
        <v>477244.8</v>
      </c>
      <c r="F218" s="343">
        <f t="shared" ref="F218:F219" si="10">D218*E218</f>
        <v>176103.33119999999</v>
      </c>
    </row>
    <row r="219" spans="1:7" x14ac:dyDescent="0.25">
      <c r="A219" s="438" t="str">
        <f>'патриотика0,369'!A250</f>
        <v xml:space="preserve">Мониторинг систем пожарной сигнализации  </v>
      </c>
      <c r="B219" s="344" t="str">
        <f t="shared" si="9"/>
        <v>договор</v>
      </c>
      <c r="C219" s="345"/>
      <c r="D219" s="345">
        <f>'патриотика0,369'!D250</f>
        <v>4.4279999999999999</v>
      </c>
      <c r="E219" s="345">
        <f>'патриотика0,369'!E250</f>
        <v>2000</v>
      </c>
      <c r="F219" s="466">
        <f t="shared" si="10"/>
        <v>8856</v>
      </c>
    </row>
    <row r="220" spans="1:7" x14ac:dyDescent="0.25">
      <c r="A220" s="438" t="str">
        <f>'патриотика0,369'!A251</f>
        <v xml:space="preserve">Уборка территории от снега </v>
      </c>
      <c r="B220" s="292" t="str">
        <f>$B$210</f>
        <v>договор</v>
      </c>
      <c r="C220" s="292"/>
      <c r="D220" s="345">
        <f>'патриотика0,369'!D251</f>
        <v>0.73799999999999999</v>
      </c>
      <c r="E220" s="345">
        <f>'патриотика0,369'!E251</f>
        <v>35707.5</v>
      </c>
      <c r="F220" s="466">
        <f>D220*E220</f>
        <v>26352.134999999998</v>
      </c>
    </row>
    <row r="221" spans="1:7" x14ac:dyDescent="0.25">
      <c r="A221" s="438" t="str">
        <f>'патриотика0,369'!A252</f>
        <v>Профилактическая дезинфекция</v>
      </c>
      <c r="B221" s="292" t="str">
        <f t="shared" ref="B221:B243" si="11">$B$210</f>
        <v>договор</v>
      </c>
      <c r="C221" s="95"/>
      <c r="D221" s="345">
        <f>'патриотика0,369'!D252</f>
        <v>1.476</v>
      </c>
      <c r="E221" s="345">
        <f>'патриотика0,369'!E252</f>
        <v>1650.6</v>
      </c>
      <c r="F221" s="466">
        <f t="shared" ref="F221:F254" si="12">D221*E221</f>
        <v>2436.2855999999997</v>
      </c>
    </row>
    <row r="222" spans="1:7" x14ac:dyDescent="0.25">
      <c r="A222" s="438" t="str">
        <f>'патриотика0,369'!A253</f>
        <v>Обслуживание системы видеонаблюдения</v>
      </c>
      <c r="B222" s="292" t="str">
        <f t="shared" si="11"/>
        <v>договор</v>
      </c>
      <c r="C222" s="95"/>
      <c r="D222" s="345">
        <f>'патриотика0,369'!D253</f>
        <v>4.4279999999999999</v>
      </c>
      <c r="E222" s="345">
        <f>'патриотика0,369'!E253</f>
        <v>1000</v>
      </c>
      <c r="F222" s="466">
        <f t="shared" si="12"/>
        <v>4428</v>
      </c>
    </row>
    <row r="223" spans="1:7" ht="30" customHeight="1" x14ac:dyDescent="0.25">
      <c r="A223" s="438" t="str">
        <f>'патриотика0,369'!A254</f>
        <v>Комплексное обслуживание системы тепловодоснабжения и конструктивных элементов здания</v>
      </c>
      <c r="B223" s="292" t="str">
        <f t="shared" si="11"/>
        <v>договор</v>
      </c>
      <c r="C223" s="95"/>
      <c r="D223" s="345">
        <f>'патриотика0,369'!D254</f>
        <v>0.36899999999999999</v>
      </c>
      <c r="E223" s="345">
        <f>'патриотика0,369'!E254</f>
        <v>50000</v>
      </c>
      <c r="F223" s="466">
        <f t="shared" si="12"/>
        <v>18450</v>
      </c>
    </row>
    <row r="224" spans="1:7" x14ac:dyDescent="0.25">
      <c r="A224" s="438" t="str">
        <f>'патриотика0,369'!A255</f>
        <v>Договор осмотр технического состояния автомобиля</v>
      </c>
      <c r="B224" s="292" t="str">
        <f t="shared" si="11"/>
        <v>договор</v>
      </c>
      <c r="C224" s="95"/>
      <c r="D224" s="345">
        <f>'патриотика0,369'!D255</f>
        <v>55.35</v>
      </c>
      <c r="E224" s="345">
        <f>'патриотика0,369'!E255</f>
        <v>181.43</v>
      </c>
      <c r="F224" s="466">
        <f t="shared" si="12"/>
        <v>10042.1505</v>
      </c>
    </row>
    <row r="225" spans="1:6" x14ac:dyDescent="0.25">
      <c r="A225" s="438" t="str">
        <f>'патриотика0,369'!A256</f>
        <v>Техническое обслуживание систем пожарной сигнализации</v>
      </c>
      <c r="B225" s="292" t="str">
        <f t="shared" si="11"/>
        <v>договор</v>
      </c>
      <c r="C225" s="95"/>
      <c r="D225" s="345">
        <f>'патриотика0,369'!D256</f>
        <v>4.4279999999999999</v>
      </c>
      <c r="E225" s="345">
        <f>'патриотика0,369'!E256</f>
        <v>1000</v>
      </c>
      <c r="F225" s="466">
        <f t="shared" si="12"/>
        <v>4428</v>
      </c>
    </row>
    <row r="226" spans="1:6" x14ac:dyDescent="0.25">
      <c r="A226" s="438" t="str">
        <f>'патриотика0,369'!A257</f>
        <v>Заправка катриджей</v>
      </c>
      <c r="B226" s="292" t="str">
        <f t="shared" si="11"/>
        <v>договор</v>
      </c>
      <c r="C226" s="95"/>
      <c r="D226" s="345">
        <f>'патриотика0,369'!D257</f>
        <v>3.69</v>
      </c>
      <c r="E226" s="345">
        <f>'патриотика0,369'!E257</f>
        <v>700</v>
      </c>
      <c r="F226" s="466">
        <f t="shared" si="12"/>
        <v>2583</v>
      </c>
    </row>
    <row r="227" spans="1:6" x14ac:dyDescent="0.25">
      <c r="A227" s="438" t="str">
        <f>'патриотика0,369'!A258</f>
        <v>ремонт оборудования</v>
      </c>
      <c r="B227" s="292" t="str">
        <f t="shared" si="11"/>
        <v>договор</v>
      </c>
      <c r="C227" s="256"/>
      <c r="D227" s="345">
        <f>'патриотика0,369'!D258</f>
        <v>0.36899999999999999</v>
      </c>
      <c r="E227" s="345">
        <f>'патриотика0,369'!E258</f>
        <v>19997.599999999999</v>
      </c>
      <c r="F227" s="466">
        <f t="shared" si="12"/>
        <v>7379.1143999999995</v>
      </c>
    </row>
    <row r="228" spans="1:6" ht="22.5" customHeight="1" x14ac:dyDescent="0.25">
      <c r="A228" s="438" t="str">
        <f>'патриотика0,369'!A259</f>
        <v>монтаж системы видеонаблюдения</v>
      </c>
      <c r="B228" s="438" t="str">
        <f>'патриотика0,369'!B259</f>
        <v>договор</v>
      </c>
      <c r="C228" s="438">
        <f>'патриотика0,369'!C259</f>
        <v>0</v>
      </c>
      <c r="D228" s="450">
        <f>'патриотика0,369'!D259</f>
        <v>0.36899999999999999</v>
      </c>
      <c r="E228" s="450">
        <f>'патриотика0,369'!E259</f>
        <v>16030</v>
      </c>
      <c r="F228" s="467">
        <f>'патриотика0,369'!F259</f>
        <v>5915.07</v>
      </c>
    </row>
    <row r="229" spans="1:6" x14ac:dyDescent="0.25">
      <c r="A229" s="438" t="str">
        <f>'патриотика0,369'!A260</f>
        <v>Медосмотр при устройстве на работу</v>
      </c>
      <c r="B229" s="292" t="str">
        <f t="shared" si="11"/>
        <v>договор</v>
      </c>
      <c r="C229" s="95"/>
      <c r="D229" s="345">
        <f>'патриотика0,369'!D260</f>
        <v>0.73799999999999999</v>
      </c>
      <c r="E229" s="345">
        <f>'патриотика0,369'!E260</f>
        <v>5000</v>
      </c>
      <c r="F229" s="305">
        <f t="shared" si="12"/>
        <v>3690</v>
      </c>
    </row>
    <row r="230" spans="1:6" x14ac:dyDescent="0.25">
      <c r="A230" s="438" t="str">
        <f>'патриотика0,369'!A261</f>
        <v>Услуги СЕМИС подписка</v>
      </c>
      <c r="B230" s="292" t="str">
        <f t="shared" si="11"/>
        <v>договор</v>
      </c>
      <c r="C230" s="95"/>
      <c r="D230" s="345">
        <f>'патриотика0,369'!D261</f>
        <v>0.36899999999999999</v>
      </c>
      <c r="E230" s="345">
        <f>'патриотика0,369'!E261</f>
        <v>1195</v>
      </c>
      <c r="F230" s="305">
        <f t="shared" si="12"/>
        <v>440.95499999999998</v>
      </c>
    </row>
    <row r="231" spans="1:6" x14ac:dyDescent="0.25">
      <c r="A231" s="438" t="str">
        <f>'патриотика0,369'!A262</f>
        <v>Предрейсовое медицинское обследование 200дней*85руб</v>
      </c>
      <c r="B231" s="292" t="str">
        <f t="shared" si="11"/>
        <v>договор</v>
      </c>
      <c r="C231" s="95"/>
      <c r="D231" s="345">
        <f>'патриотика0,369'!D262</f>
        <v>55.35</v>
      </c>
      <c r="E231" s="345">
        <f>'патриотика0,369'!E262</f>
        <v>85</v>
      </c>
      <c r="F231" s="305">
        <f t="shared" si="12"/>
        <v>4704.75</v>
      </c>
    </row>
    <row r="232" spans="1:6" x14ac:dyDescent="0.25">
      <c r="A232" s="438" t="str">
        <f>'патриотика0,369'!A263</f>
        <v xml:space="preserve">Услуги охраны  </v>
      </c>
      <c r="B232" s="292" t="str">
        <f t="shared" si="11"/>
        <v>договор</v>
      </c>
      <c r="C232" s="95"/>
      <c r="D232" s="345">
        <f>'патриотика0,369'!D263</f>
        <v>4.4279999999999999</v>
      </c>
      <c r="E232" s="345">
        <f>'патриотика0,369'!E263</f>
        <v>8000</v>
      </c>
      <c r="F232" s="305">
        <f t="shared" si="12"/>
        <v>35424</v>
      </c>
    </row>
    <row r="233" spans="1:6" ht="30" x14ac:dyDescent="0.25">
      <c r="A233" s="438" t="str">
        <f>'патриотика0,369'!A264</f>
        <v>Обслуживание систем охранных средств сигнализации (тревожная кнопка)</v>
      </c>
      <c r="B233" s="292" t="str">
        <f t="shared" si="11"/>
        <v>договор</v>
      </c>
      <c r="C233" s="95"/>
      <c r="D233" s="345">
        <f>'патриотика0,369'!D264</f>
        <v>4.4279999999999999</v>
      </c>
      <c r="E233" s="345">
        <f>'патриотика0,369'!E264</f>
        <v>5000</v>
      </c>
      <c r="F233" s="305">
        <f t="shared" si="12"/>
        <v>22140</v>
      </c>
    </row>
    <row r="234" spans="1:6" x14ac:dyDescent="0.25">
      <c r="A234" s="438" t="str">
        <f>'патриотика0,369'!A265</f>
        <v>Страховая премия по полису ОСАГО за УАЗ</v>
      </c>
      <c r="B234" s="292" t="str">
        <f t="shared" si="11"/>
        <v>договор</v>
      </c>
      <c r="C234" s="257"/>
      <c r="D234" s="345">
        <f>'патриотика0,369'!D265</f>
        <v>0.36899999999999999</v>
      </c>
      <c r="E234" s="345">
        <f>'патриотика0,369'!E265</f>
        <v>5500</v>
      </c>
      <c r="F234" s="305">
        <f t="shared" si="12"/>
        <v>2029.5</v>
      </c>
    </row>
    <row r="235" spans="1:6" ht="30" x14ac:dyDescent="0.25">
      <c r="A235" s="438" t="str">
        <f>'патриотика0,369'!A266</f>
        <v>Диагностика бытовой и оргтехники для определения возможности ее дальнейшего использования (244/226)</v>
      </c>
      <c r="B235" s="292" t="str">
        <f t="shared" si="11"/>
        <v>договор</v>
      </c>
      <c r="C235" s="257"/>
      <c r="D235" s="345">
        <f>'патриотика0,369'!D266</f>
        <v>0.36899999999999999</v>
      </c>
      <c r="E235" s="345">
        <f>'патриотика0,369'!E266</f>
        <v>4500</v>
      </c>
      <c r="F235" s="305">
        <f t="shared" si="12"/>
        <v>1660.5</v>
      </c>
    </row>
    <row r="236" spans="1:6" x14ac:dyDescent="0.25">
      <c r="A236" s="438" t="str">
        <f>'патриотика0,369'!A267</f>
        <v>Изготовление снежных фигур</v>
      </c>
      <c r="B236" s="292" t="str">
        <f t="shared" si="11"/>
        <v>договор</v>
      </c>
      <c r="C236" s="257"/>
      <c r="D236" s="345">
        <f>'патриотика0,369'!D267</f>
        <v>0.36899999999999999</v>
      </c>
      <c r="E236" s="345">
        <f>'патриотика0,369'!E267</f>
        <v>20555</v>
      </c>
      <c r="F236" s="305">
        <f t="shared" si="12"/>
        <v>7584.7950000000001</v>
      </c>
    </row>
    <row r="237" spans="1:6" x14ac:dyDescent="0.25">
      <c r="A237" s="438" t="s">
        <v>305</v>
      </c>
      <c r="B237" s="443" t="s">
        <v>22</v>
      </c>
      <c r="C237" s="257"/>
      <c r="D237" s="444">
        <v>0.36899999999999999</v>
      </c>
      <c r="E237" s="444">
        <v>30000</v>
      </c>
      <c r="F237" s="442">
        <f>D237*E237</f>
        <v>11070</v>
      </c>
    </row>
    <row r="238" spans="1:6" x14ac:dyDescent="0.25">
      <c r="A238" s="438" t="str">
        <f>'патриотика0,369'!A269</f>
        <v>Приобретение программного обеспечения</v>
      </c>
      <c r="B238" s="292" t="str">
        <f t="shared" si="11"/>
        <v>договор</v>
      </c>
      <c r="C238" s="257"/>
      <c r="D238" s="345">
        <f>'патриотика0,369'!D269</f>
        <v>1.476</v>
      </c>
      <c r="E238" s="345">
        <f>'патриотика0,369'!E269</f>
        <v>7400</v>
      </c>
      <c r="F238" s="305">
        <f t="shared" si="12"/>
        <v>10922.4</v>
      </c>
    </row>
    <row r="239" spans="1:6" ht="15.75" hidden="1" x14ac:dyDescent="0.25">
      <c r="A239" s="345">
        <f>'патриотика0,369'!A270</f>
        <v>0</v>
      </c>
      <c r="B239" s="292" t="str">
        <f t="shared" si="11"/>
        <v>договор</v>
      </c>
      <c r="C239" s="257"/>
      <c r="D239" s="70">
        <f>1*D214</f>
        <v>0.36899999999999999</v>
      </c>
      <c r="E239" s="387">
        <v>3600.68</v>
      </c>
      <c r="F239" s="305">
        <v>0</v>
      </c>
    </row>
    <row r="240" spans="1:6" hidden="1" x14ac:dyDescent="0.25">
      <c r="A240" s="345">
        <f>'патриотика0,369'!A271</f>
        <v>0</v>
      </c>
      <c r="B240" s="292" t="str">
        <f t="shared" si="11"/>
        <v>договор</v>
      </c>
      <c r="C240" s="257"/>
      <c r="D240" s="386">
        <f>1*D214</f>
        <v>0.36899999999999999</v>
      </c>
      <c r="E240" s="388">
        <v>1000</v>
      </c>
      <c r="F240" s="305">
        <v>0</v>
      </c>
    </row>
    <row r="241" spans="1:6" hidden="1" x14ac:dyDescent="0.25">
      <c r="A241" s="345">
        <f>'патриотика0,369'!A272</f>
        <v>0</v>
      </c>
      <c r="B241" s="292" t="str">
        <f t="shared" si="11"/>
        <v>договор</v>
      </c>
      <c r="C241" s="257"/>
      <c r="D241" s="386">
        <f>1*D214</f>
        <v>0.36899999999999999</v>
      </c>
      <c r="E241" s="388">
        <v>5000</v>
      </c>
      <c r="F241" s="305">
        <v>0</v>
      </c>
    </row>
    <row r="242" spans="1:6" hidden="1" x14ac:dyDescent="0.25">
      <c r="A242" s="345">
        <f>'патриотика0,369'!A273</f>
        <v>0</v>
      </c>
      <c r="B242" s="292" t="str">
        <f t="shared" si="11"/>
        <v>договор</v>
      </c>
      <c r="C242" s="257"/>
      <c r="D242" s="386">
        <f>1*D214</f>
        <v>0.36899999999999999</v>
      </c>
      <c r="E242" s="388">
        <v>20718.32</v>
      </c>
      <c r="F242" s="305">
        <v>0</v>
      </c>
    </row>
    <row r="243" spans="1:6" hidden="1" x14ac:dyDescent="0.25">
      <c r="A243" s="345">
        <f>'патриотика0,369'!A274</f>
        <v>0</v>
      </c>
      <c r="B243" s="292" t="str">
        <f t="shared" si="11"/>
        <v>договор</v>
      </c>
      <c r="C243" s="257"/>
      <c r="D243" s="386">
        <f>5*D214</f>
        <v>1.845</v>
      </c>
      <c r="E243" s="388">
        <v>100</v>
      </c>
      <c r="F243" s="305">
        <v>0</v>
      </c>
    </row>
    <row r="244" spans="1:6" hidden="1" x14ac:dyDescent="0.25">
      <c r="A244" s="402"/>
      <c r="B244" s="325"/>
      <c r="C244" s="403"/>
      <c r="D244" s="325"/>
      <c r="E244" s="404">
        <v>9600</v>
      </c>
      <c r="F244" s="241">
        <f t="shared" si="12"/>
        <v>0</v>
      </c>
    </row>
    <row r="245" spans="1:6" hidden="1" x14ac:dyDescent="0.25">
      <c r="A245" s="255"/>
      <c r="B245" s="292"/>
      <c r="C245" s="257"/>
      <c r="D245" s="292"/>
      <c r="E245" s="258">
        <v>9500</v>
      </c>
      <c r="F245" s="305">
        <f t="shared" si="12"/>
        <v>0</v>
      </c>
    </row>
    <row r="246" spans="1:6" hidden="1" x14ac:dyDescent="0.25">
      <c r="A246" s="255"/>
      <c r="B246" s="292"/>
      <c r="C246" s="257"/>
      <c r="D246" s="292"/>
      <c r="E246" s="258">
        <v>5000</v>
      </c>
      <c r="F246" s="305">
        <f t="shared" si="12"/>
        <v>0</v>
      </c>
    </row>
    <row r="247" spans="1:6" hidden="1" x14ac:dyDescent="0.25">
      <c r="A247" s="255"/>
      <c r="B247" s="292"/>
      <c r="C247" s="257"/>
      <c r="D247" s="292"/>
      <c r="E247" s="258">
        <v>15000</v>
      </c>
      <c r="F247" s="305">
        <f t="shared" si="12"/>
        <v>0</v>
      </c>
    </row>
    <row r="248" spans="1:6" hidden="1" x14ac:dyDescent="0.25">
      <c r="A248" s="94"/>
      <c r="B248" s="292"/>
      <c r="C248" s="95"/>
      <c r="D248" s="292"/>
      <c r="E248" s="325">
        <v>2000</v>
      </c>
      <c r="F248" s="305">
        <f t="shared" si="12"/>
        <v>0</v>
      </c>
    </row>
    <row r="249" spans="1:6" hidden="1" x14ac:dyDescent="0.25">
      <c r="A249" s="94"/>
      <c r="B249" s="292"/>
      <c r="C249" s="95"/>
      <c r="D249" s="292"/>
      <c r="E249" s="325">
        <v>2000</v>
      </c>
      <c r="F249" s="305">
        <f t="shared" si="12"/>
        <v>0</v>
      </c>
    </row>
    <row r="250" spans="1:6" hidden="1" x14ac:dyDescent="0.25">
      <c r="A250" s="94"/>
      <c r="B250" s="292"/>
      <c r="C250" s="95"/>
      <c r="D250" s="292"/>
      <c r="E250" s="325">
        <v>2000</v>
      </c>
      <c r="F250" s="305">
        <f t="shared" si="12"/>
        <v>0</v>
      </c>
    </row>
    <row r="251" spans="1:6" hidden="1" x14ac:dyDescent="0.25">
      <c r="A251" s="94"/>
      <c r="B251" s="292"/>
      <c r="C251" s="95"/>
      <c r="D251" s="292"/>
      <c r="E251" s="325">
        <v>2000</v>
      </c>
      <c r="F251" s="305">
        <f t="shared" si="12"/>
        <v>0</v>
      </c>
    </row>
    <row r="252" spans="1:6" hidden="1" x14ac:dyDescent="0.25">
      <c r="A252" s="94"/>
      <c r="B252" s="292"/>
      <c r="C252" s="95"/>
      <c r="D252" s="292"/>
      <c r="E252" s="325">
        <v>2000</v>
      </c>
      <c r="F252" s="305">
        <f t="shared" si="12"/>
        <v>0</v>
      </c>
    </row>
    <row r="253" spans="1:6" hidden="1" x14ac:dyDescent="0.25">
      <c r="A253" s="94"/>
      <c r="B253" s="292"/>
      <c r="C253" s="95"/>
      <c r="D253" s="292"/>
      <c r="E253" s="325">
        <v>2500</v>
      </c>
      <c r="F253" s="305">
        <f t="shared" si="12"/>
        <v>0</v>
      </c>
    </row>
    <row r="254" spans="1:6" hidden="1" x14ac:dyDescent="0.25">
      <c r="A254" s="94"/>
      <c r="B254" s="292"/>
      <c r="C254" s="95"/>
      <c r="D254" s="292"/>
      <c r="E254" s="292">
        <v>7500</v>
      </c>
      <c r="F254" s="305">
        <f t="shared" si="12"/>
        <v>0</v>
      </c>
    </row>
    <row r="255" spans="1:6" x14ac:dyDescent="0.25">
      <c r="A255" s="630" t="s">
        <v>23</v>
      </c>
      <c r="B255" s="631"/>
      <c r="C255" s="631"/>
      <c r="D255" s="631"/>
      <c r="E255" s="632"/>
      <c r="F255" s="274">
        <f>SUM(F218:F254)</f>
        <v>366639.98670000001</v>
      </c>
    </row>
    <row r="256" spans="1:6" x14ac:dyDescent="0.25">
      <c r="A256" s="633" t="s">
        <v>29</v>
      </c>
      <c r="B256" s="634"/>
      <c r="C256" s="634"/>
      <c r="D256" s="634"/>
      <c r="E256" s="634"/>
      <c r="F256" s="635"/>
    </row>
    <row r="257" spans="1:7" x14ac:dyDescent="0.25">
      <c r="A257" s="392">
        <f>D214</f>
        <v>0.36899999999999999</v>
      </c>
      <c r="B257" s="393"/>
      <c r="C257" s="393"/>
      <c r="D257" s="393"/>
      <c r="E257" s="393"/>
      <c r="F257" s="394"/>
    </row>
    <row r="258" spans="1:7" x14ac:dyDescent="0.25">
      <c r="A258" s="636" t="s">
        <v>30</v>
      </c>
      <c r="B258" s="636" t="s">
        <v>11</v>
      </c>
      <c r="C258" s="314"/>
      <c r="D258" s="636" t="s">
        <v>14</v>
      </c>
      <c r="E258" s="636" t="s">
        <v>15</v>
      </c>
      <c r="F258" s="636" t="s">
        <v>6</v>
      </c>
    </row>
    <row r="259" spans="1:7" x14ac:dyDescent="0.25">
      <c r="A259" s="636"/>
      <c r="B259" s="636"/>
      <c r="C259" s="314"/>
      <c r="D259" s="636"/>
      <c r="E259" s="636"/>
      <c r="F259" s="636"/>
    </row>
    <row r="260" spans="1:7" x14ac:dyDescent="0.25">
      <c r="A260" s="314">
        <v>1</v>
      </c>
      <c r="B260" s="314">
        <v>2</v>
      </c>
      <c r="C260" s="314"/>
      <c r="D260" s="314">
        <v>3</v>
      </c>
      <c r="E260" s="314">
        <v>4</v>
      </c>
      <c r="F260" s="314" t="s">
        <v>107</v>
      </c>
    </row>
    <row r="261" spans="1:7" x14ac:dyDescent="0.25">
      <c r="A261" s="439" t="str">
        <f>'патриотика0,369'!A290</f>
        <v>Обучение электроустановки</v>
      </c>
      <c r="B261" s="340" t="s">
        <v>22</v>
      </c>
      <c r="C261" s="340"/>
      <c r="D261" s="340">
        <f>'патриотика0,369'!D290</f>
        <v>0.73799999999999999</v>
      </c>
      <c r="E261" s="340">
        <f>'патриотика0,369'!E290</f>
        <v>5000</v>
      </c>
      <c r="F261" s="217">
        <f t="shared" ref="F261:F262" si="13">D261*E261</f>
        <v>3690</v>
      </c>
    </row>
    <row r="262" spans="1:7" x14ac:dyDescent="0.25">
      <c r="A262" s="439" t="str">
        <f>'патриотика0,369'!A291</f>
        <v>переподготовка</v>
      </c>
      <c r="B262" s="340" t="s">
        <v>22</v>
      </c>
      <c r="C262" s="340"/>
      <c r="D262" s="340">
        <f>'патриотика0,369'!D291</f>
        <v>1.107</v>
      </c>
      <c r="E262" s="340">
        <f>'патриотика0,369'!E291</f>
        <v>20000</v>
      </c>
      <c r="F262" s="217">
        <f t="shared" si="13"/>
        <v>22140</v>
      </c>
    </row>
    <row r="263" spans="1:7" x14ac:dyDescent="0.25">
      <c r="A263" s="439" t="str">
        <f>'патриотика0,369'!A292</f>
        <v>КОНТРАКТ ООО ОПТИМА ХОЗЫ</v>
      </c>
      <c r="B263" s="218" t="s">
        <v>82</v>
      </c>
      <c r="C263" s="215"/>
      <c r="D263" s="340">
        <f>'патриотика0,369'!D292</f>
        <v>0.36899999999999999</v>
      </c>
      <c r="E263" s="340">
        <f>'патриотика0,369'!E292</f>
        <v>260</v>
      </c>
      <c r="F263" s="217">
        <f>D263*E263</f>
        <v>95.94</v>
      </c>
      <c r="G263" s="405"/>
    </row>
    <row r="264" spans="1:7" x14ac:dyDescent="0.25">
      <c r="A264" s="439" t="str">
        <f>'патриотика0,369'!A293</f>
        <v>Кисть Акор "ЭКСПЕРТ"КФ- 25*8 натур.щетина /10/1050/</v>
      </c>
      <c r="B264" s="218" t="s">
        <v>82</v>
      </c>
      <c r="C264" s="215"/>
      <c r="D264" s="340">
        <f>'патриотика0,369'!D293</f>
        <v>0.36899999999999999</v>
      </c>
      <c r="E264" s="340">
        <f>'патриотика0,369'!E293</f>
        <v>22</v>
      </c>
      <c r="F264" s="217">
        <f>D264*E264</f>
        <v>8.1180000000000003</v>
      </c>
      <c r="G264" s="405"/>
    </row>
    <row r="265" spans="1:7" ht="15" customHeight="1" x14ac:dyDescent="0.25">
      <c r="A265" s="439" t="str">
        <f>'патриотика0,369'!A294</f>
        <v>Лак БТ-577 (Кузбасслак)   0,9л СГ /6/</v>
      </c>
      <c r="B265" s="218" t="s">
        <v>82</v>
      </c>
      <c r="C265" s="215"/>
      <c r="D265" s="340">
        <f>'патриотика0,369'!D294</f>
        <v>0.36899999999999999</v>
      </c>
      <c r="E265" s="340">
        <f>'патриотика0,369'!E294</f>
        <v>127</v>
      </c>
      <c r="F265" s="217">
        <f t="shared" ref="F265:F305" si="14">D265*E265</f>
        <v>46.863</v>
      </c>
      <c r="G265" s="405"/>
    </row>
    <row r="266" spans="1:7" ht="15" customHeight="1" x14ac:dyDescent="0.25">
      <c r="A266" s="439" t="str">
        <f>'патриотика0,369'!A295</f>
        <v>Морилка "Красное дерево" 0,50л водная  пэт</v>
      </c>
      <c r="B266" s="218" t="s">
        <v>82</v>
      </c>
      <c r="C266" s="215"/>
      <c r="D266" s="340">
        <f>'патриотика0,369'!D295</f>
        <v>0.73799999999999999</v>
      </c>
      <c r="E266" s="340">
        <f>'патриотика0,369'!E295</f>
        <v>84</v>
      </c>
      <c r="F266" s="217">
        <f t="shared" si="14"/>
        <v>61.991999999999997</v>
      </c>
      <c r="G266" s="405"/>
    </row>
    <row r="267" spans="1:7" ht="15" customHeight="1" x14ac:dyDescent="0.25">
      <c r="A267" s="439" t="str">
        <f>'патриотика0,369'!A296</f>
        <v>Порожек стык 1,8 м дуб темный 60мм (6) ПС07.1800.091</v>
      </c>
      <c r="B267" s="218" t="s">
        <v>82</v>
      </c>
      <c r="C267" s="215"/>
      <c r="D267" s="340">
        <f>'патриотика0,369'!D296</f>
        <v>0.73799999999999999</v>
      </c>
      <c r="E267" s="340">
        <f>'патриотика0,369'!E296</f>
        <v>490</v>
      </c>
      <c r="F267" s="217">
        <f t="shared" si="14"/>
        <v>361.62</v>
      </c>
      <c r="G267" s="405"/>
    </row>
    <row r="268" spans="1:7" x14ac:dyDescent="0.25">
      <c r="A268" s="439" t="str">
        <f>'патриотика0,369'!A297</f>
        <v>Профиль потолочный А-1 3,0м в сборе (Т) (20)</v>
      </c>
      <c r="B268" s="218" t="s">
        <v>82</v>
      </c>
      <c r="C268" s="215"/>
      <c r="D268" s="340">
        <f>'патриотика0,369'!D297</f>
        <v>0.36899999999999999</v>
      </c>
      <c r="E268" s="340">
        <f>'патриотика0,369'!E297</f>
        <v>160</v>
      </c>
      <c r="F268" s="217">
        <f t="shared" si="14"/>
        <v>59.04</v>
      </c>
      <c r="G268" s="405"/>
    </row>
    <row r="269" spans="1:7" x14ac:dyDescent="0.25">
      <c r="A269" s="439" t="str">
        <f>'патриотика0,369'!A298</f>
        <v>STAYER MAXI, 105х55мм, стусло пластиковое</v>
      </c>
      <c r="B269" s="218" t="s">
        <v>82</v>
      </c>
      <c r="C269" s="215"/>
      <c r="D269" s="340">
        <f>'патриотика0,369'!D298</f>
        <v>0.36899999999999999</v>
      </c>
      <c r="E269" s="340">
        <f>'патриотика0,369'!E298</f>
        <v>216</v>
      </c>
      <c r="F269" s="217">
        <f t="shared" si="14"/>
        <v>79.703999999999994</v>
      </c>
      <c r="G269" s="405"/>
    </row>
    <row r="270" spans="1:7" ht="27" x14ac:dyDescent="0.25">
      <c r="A270" s="439" t="str">
        <f>'патриотика0,369'!A299</f>
        <v>Ножовка по металлу ЗУБР МХ-100, метал.рамка, пласт.ручка,натяжение 60кг, 300мм</v>
      </c>
      <c r="B270" s="218" t="s">
        <v>82</v>
      </c>
      <c r="C270" s="215"/>
      <c r="D270" s="340">
        <f>'патриотика0,369'!D299</f>
        <v>0.36899999999999999</v>
      </c>
      <c r="E270" s="340">
        <f>'патриотика0,369'!E299</f>
        <v>275</v>
      </c>
      <c r="F270" s="217">
        <f t="shared" si="14"/>
        <v>101.47499999999999</v>
      </c>
      <c r="G270" s="405"/>
    </row>
    <row r="271" spans="1:7" x14ac:dyDescent="0.25">
      <c r="A271" s="439" t="str">
        <f>'патриотика0,369'!A300</f>
        <v>Ножовка ЗУБР Молния-5 по дереву, прямой крупный зуб, 500мм</v>
      </c>
      <c r="B271" s="218" t="s">
        <v>82</v>
      </c>
      <c r="C271" s="215"/>
      <c r="D271" s="340">
        <f>'патриотика0,369'!D300</f>
        <v>0.36899999999999999</v>
      </c>
      <c r="E271" s="340">
        <f>'патриотика0,369'!E300</f>
        <v>634</v>
      </c>
      <c r="F271" s="217">
        <f t="shared" si="14"/>
        <v>233.946</v>
      </c>
      <c r="G271" s="405"/>
    </row>
    <row r="272" spans="1:7" ht="15" customHeight="1" x14ac:dyDescent="0.25">
      <c r="A272" s="439" t="str">
        <f>'патриотика0,369'!A301</f>
        <v>Рулетка ХК STANDART 10м*25мм, магнит, автостоп, обрезиненный корпус /12/60/</v>
      </c>
      <c r="B272" s="218" t="s">
        <v>82</v>
      </c>
      <c r="C272" s="215"/>
      <c r="D272" s="340">
        <f>'патриотика0,369'!D301</f>
        <v>0.73799999999999999</v>
      </c>
      <c r="E272" s="340">
        <f>'патриотика0,369'!E301</f>
        <v>406</v>
      </c>
      <c r="F272" s="217">
        <f t="shared" si="14"/>
        <v>299.62799999999999</v>
      </c>
      <c r="G272" s="405"/>
    </row>
    <row r="273" spans="1:7" ht="15" customHeight="1" x14ac:dyDescent="0.25">
      <c r="A273" s="439" t="str">
        <f>'патриотика0,369'!A302</f>
        <v>Хомут нейлоновый 3,6х250мм 100шт белый /10/</v>
      </c>
      <c r="B273" s="218" t="s">
        <v>82</v>
      </c>
      <c r="C273" s="215"/>
      <c r="D273" s="340">
        <f>'патриотика0,369'!D302</f>
        <v>0.36899999999999999</v>
      </c>
      <c r="E273" s="340">
        <f>'патриотика0,369'!E302</f>
        <v>147</v>
      </c>
      <c r="F273" s="217">
        <f t="shared" si="14"/>
        <v>54.243000000000002</v>
      </c>
      <c r="G273" s="405"/>
    </row>
    <row r="274" spans="1:7" ht="15" customHeight="1" x14ac:dyDescent="0.25">
      <c r="A274" s="439" t="str">
        <f>'патриотика0,369'!A303</f>
        <v>Хомут нейлоновый 3,6х350мм 100шт белый</v>
      </c>
      <c r="B274" s="218" t="s">
        <v>82</v>
      </c>
      <c r="C274" s="215"/>
      <c r="D274" s="340">
        <f>'патриотика0,369'!D303</f>
        <v>0.36899999999999999</v>
      </c>
      <c r="E274" s="340">
        <f>'патриотика0,369'!E303</f>
        <v>205</v>
      </c>
      <c r="F274" s="217">
        <f t="shared" si="14"/>
        <v>75.644999999999996</v>
      </c>
      <c r="G274" s="405"/>
    </row>
    <row r="275" spans="1:7" ht="15" customHeight="1" x14ac:dyDescent="0.25">
      <c r="A275" s="439" t="str">
        <f>'патриотика0,369'!A304</f>
        <v>Нож ЕРМАК 18 мм, складной, двухкомпонентная рукоятка, сменное лезвие 649-015/1/</v>
      </c>
      <c r="B275" s="218" t="s">
        <v>82</v>
      </c>
      <c r="C275" s="215"/>
      <c r="D275" s="340">
        <f>'патриотика0,369'!D304</f>
        <v>0.36899999999999999</v>
      </c>
      <c r="E275" s="340">
        <f>'патриотика0,369'!E304</f>
        <v>96</v>
      </c>
      <c r="F275" s="217">
        <f t="shared" si="14"/>
        <v>35.423999999999999</v>
      </c>
      <c r="G275" s="405"/>
    </row>
    <row r="276" spans="1:7" ht="15" customHeight="1" x14ac:dyDescent="0.25">
      <c r="A276" s="439" t="str">
        <f>'патриотика0,369'!A305</f>
        <v>Сверло ЗУБР "МАСТЕР" по бетону ударное, 10x300мм</v>
      </c>
      <c r="B276" s="218" t="s">
        <v>82</v>
      </c>
      <c r="C276" s="215"/>
      <c r="D276" s="340">
        <f>'патриотика0,369'!D305</f>
        <v>0.36899999999999999</v>
      </c>
      <c r="E276" s="340">
        <f>'патриотика0,369'!E305</f>
        <v>133</v>
      </c>
      <c r="F276" s="217">
        <f t="shared" si="14"/>
        <v>49.076999999999998</v>
      </c>
      <c r="G276" s="405"/>
    </row>
    <row r="277" spans="1:7" ht="15" customHeight="1" x14ac:dyDescent="0.25">
      <c r="A277" s="439" t="str">
        <f>'патриотика0,369'!A306</f>
        <v>Сверло ЗУБР "СУПЕР-6" по бетону ударное, шестигранный хвостовик, 8x300мм</v>
      </c>
      <c r="B277" s="218" t="s">
        <v>82</v>
      </c>
      <c r="C277" s="292"/>
      <c r="D277" s="340">
        <f>'патриотика0,369'!D306</f>
        <v>0.36899999999999999</v>
      </c>
      <c r="E277" s="340">
        <f>'патриотика0,369'!E306</f>
        <v>189</v>
      </c>
      <c r="F277" s="217">
        <f t="shared" si="14"/>
        <v>69.741</v>
      </c>
      <c r="G277" s="405"/>
    </row>
    <row r="278" spans="1:7" ht="15" customHeight="1" x14ac:dyDescent="0.25">
      <c r="A278" s="439" t="str">
        <f>'патриотика0,369'!A307</f>
        <v>ЗУБР МАСТЕР 6 х 150  мм сверло по бетону</v>
      </c>
      <c r="B278" s="218" t="s">
        <v>82</v>
      </c>
      <c r="C278" s="292"/>
      <c r="D278" s="340">
        <f>'патриотика0,369'!D307</f>
        <v>0.36899999999999999</v>
      </c>
      <c r="E278" s="340">
        <f>'патриотика0,369'!E307</f>
        <v>69</v>
      </c>
      <c r="F278" s="217">
        <f t="shared" si="14"/>
        <v>25.460999999999999</v>
      </c>
      <c r="G278" s="405"/>
    </row>
    <row r="279" spans="1:7" ht="15" customHeight="1" x14ac:dyDescent="0.25">
      <c r="A279" s="439" t="str">
        <f>'патриотика0,369'!A308</f>
        <v>ЗУБР МАСТЕР 4 х 75  мм сверло по бетону</v>
      </c>
      <c r="B279" s="218" t="s">
        <v>82</v>
      </c>
      <c r="C279" s="292"/>
      <c r="D279" s="340">
        <f>'патриотика0,369'!D308</f>
        <v>0.36899999999999999</v>
      </c>
      <c r="E279" s="340">
        <f>'патриотика0,369'!E308</f>
        <v>40</v>
      </c>
      <c r="F279" s="217">
        <f t="shared" si="14"/>
        <v>14.76</v>
      </c>
      <c r="G279" s="405"/>
    </row>
    <row r="280" spans="1:7" ht="15" customHeight="1" x14ac:dyDescent="0.25">
      <c r="A280" s="439" t="str">
        <f>'патриотика0,369'!A309</f>
        <v>ЗУБР МАСТЕР 5 x 85  мм сверло по бетону</v>
      </c>
      <c r="B280" s="218" t="s">
        <v>82</v>
      </c>
      <c r="C280" s="292"/>
      <c r="D280" s="340">
        <f>'патриотика0,369'!D309</f>
        <v>0.36899999999999999</v>
      </c>
      <c r="E280" s="340">
        <f>'патриотика0,369'!E309</f>
        <v>48</v>
      </c>
      <c r="F280" s="217">
        <f t="shared" si="14"/>
        <v>17.712</v>
      </c>
      <c r="G280" s="405"/>
    </row>
    <row r="281" spans="1:7" ht="15" customHeight="1" x14ac:dyDescent="0.25">
      <c r="A281" s="439" t="str">
        <f>'патриотика0,369'!A310</f>
        <v>Плинтус напольный с кабель-каналом Line Plast L048 Ироко 58мм*2,5м (40) L048 Ироко</v>
      </c>
      <c r="B281" s="218" t="s">
        <v>82</v>
      </c>
      <c r="C281" s="292"/>
      <c r="D281" s="340">
        <f>'патриотика0,369'!D310</f>
        <v>6.6419999999999995</v>
      </c>
      <c r="E281" s="340">
        <f>'патриотика0,369'!E310</f>
        <v>89</v>
      </c>
      <c r="F281" s="217">
        <f t="shared" si="14"/>
        <v>591.13799999999992</v>
      </c>
      <c r="G281" s="405"/>
    </row>
    <row r="282" spans="1:7" ht="15" customHeight="1" x14ac:dyDescent="0.25">
      <c r="A282" s="439" t="str">
        <f>'патриотика0,369'!A311</f>
        <v>Угол наружный Line Plast L048 Ироко 58мм</v>
      </c>
      <c r="B282" s="218" t="s">
        <v>82</v>
      </c>
      <c r="C282" s="292"/>
      <c r="D282" s="340">
        <f>'патриотика0,369'!D311</f>
        <v>4.4279999999999999</v>
      </c>
      <c r="E282" s="340">
        <f>'патриотика0,369'!E311</f>
        <v>15</v>
      </c>
      <c r="F282" s="217">
        <f t="shared" si="14"/>
        <v>66.42</v>
      </c>
      <c r="G282" s="405"/>
    </row>
    <row r="283" spans="1:7" ht="15" customHeight="1" x14ac:dyDescent="0.25">
      <c r="A283" s="439" t="str">
        <f>'патриотика0,369'!A312</f>
        <v>Угол внутренний Line Plast L048 Ироко 58мм</v>
      </c>
      <c r="B283" s="218" t="s">
        <v>82</v>
      </c>
      <c r="C283" s="292"/>
      <c r="D283" s="340">
        <f>'патриотика0,369'!D312</f>
        <v>4.4279999999999999</v>
      </c>
      <c r="E283" s="340">
        <f>'патриотика0,369'!E312</f>
        <v>15</v>
      </c>
      <c r="F283" s="217">
        <f t="shared" si="14"/>
        <v>66.42</v>
      </c>
      <c r="G283" s="405"/>
    </row>
    <row r="284" spans="1:7" ht="15" customHeight="1" x14ac:dyDescent="0.25">
      <c r="A284" s="439" t="str">
        <f>'патриотика0,369'!A313</f>
        <v>Соединитель Line Plast L048 Ироко 58мм (50)</v>
      </c>
      <c r="B284" s="218" t="s">
        <v>82</v>
      </c>
      <c r="C284" s="292"/>
      <c r="D284" s="340">
        <f>'патриотика0,369'!D313</f>
        <v>7.38</v>
      </c>
      <c r="E284" s="340">
        <f>'патриотика0,369'!E313</f>
        <v>15</v>
      </c>
      <c r="F284" s="217">
        <f t="shared" si="14"/>
        <v>110.7</v>
      </c>
      <c r="G284" s="405"/>
    </row>
    <row r="285" spans="1:7" ht="15" customHeight="1" x14ac:dyDescent="0.25">
      <c r="A285" s="439" t="str">
        <f>'патриотика0,369'!A314</f>
        <v>Торцевик Line Plast L048 Ироко левый 58мм (50)</v>
      </c>
      <c r="B285" s="218" t="s">
        <v>82</v>
      </c>
      <c r="C285" s="292"/>
      <c r="D285" s="340">
        <f>'патриотика0,369'!D314</f>
        <v>2.214</v>
      </c>
      <c r="E285" s="340">
        <f>'патриотика0,369'!E314</f>
        <v>15</v>
      </c>
      <c r="F285" s="217">
        <f t="shared" si="14"/>
        <v>33.21</v>
      </c>
      <c r="G285" s="405"/>
    </row>
    <row r="286" spans="1:7" ht="15" customHeight="1" x14ac:dyDescent="0.25">
      <c r="A286" s="439" t="str">
        <f>'патриотика0,369'!A315</f>
        <v>Торцевик Line Plast L048 Ироко правый 58мм (50)</v>
      </c>
      <c r="B286" s="218" t="s">
        <v>82</v>
      </c>
      <c r="C286" s="292"/>
      <c r="D286" s="340">
        <f>'патриотика0,369'!D315</f>
        <v>2.214</v>
      </c>
      <c r="E286" s="340">
        <f>'патриотика0,369'!E315</f>
        <v>15</v>
      </c>
      <c r="F286" s="217">
        <f t="shared" si="14"/>
        <v>33.21</v>
      </c>
      <c r="G286" s="405"/>
    </row>
    <row r="287" spans="1:7" ht="15" customHeight="1" x14ac:dyDescent="0.25">
      <c r="A287" s="439" t="str">
        <f>'патриотика0,369'!A316</f>
        <v>Карниз для штор гибкий ArtFlex белый 5,0м (11 хомутов, 50 крючков)</v>
      </c>
      <c r="B287" s="218" t="s">
        <v>82</v>
      </c>
      <c r="C287" s="215"/>
      <c r="D287" s="340">
        <f>'патриотика0,369'!D316</f>
        <v>0.36899999999999999</v>
      </c>
      <c r="E287" s="340">
        <f>'патриотика0,369'!E316</f>
        <v>1871</v>
      </c>
      <c r="F287" s="217">
        <f t="shared" si="14"/>
        <v>690.399</v>
      </c>
      <c r="G287" s="405"/>
    </row>
    <row r="288" spans="1:7" ht="15" customHeight="1" x14ac:dyDescent="0.25">
      <c r="A288" s="439" t="str">
        <f>'патриотика0,369'!A317</f>
        <v>Выключатель Lezard Mira 1СП белый 701-0202-100 /10/120/</v>
      </c>
      <c r="B288" s="218" t="s">
        <v>82</v>
      </c>
      <c r="C288" s="215"/>
      <c r="D288" s="340">
        <f>'патриотика0,369'!D317</f>
        <v>0.73799999999999999</v>
      </c>
      <c r="E288" s="340">
        <f>'патриотика0,369'!E317</f>
        <v>195</v>
      </c>
      <c r="F288" s="217">
        <f t="shared" si="14"/>
        <v>143.91</v>
      </c>
      <c r="G288" s="405"/>
    </row>
    <row r="289" spans="1:7" x14ac:dyDescent="0.25">
      <c r="A289" s="439" t="str">
        <f>'патриотика0,369'!A318</f>
        <v xml:space="preserve">Клей Henkel Момент Столяр ПВА универсальный, 250гр </v>
      </c>
      <c r="B289" s="218" t="s">
        <v>82</v>
      </c>
      <c r="C289" s="215"/>
      <c r="D289" s="340">
        <f>'патриотика0,369'!D318</f>
        <v>0.36899999999999999</v>
      </c>
      <c r="E289" s="340">
        <f>'патриотика0,369'!E318</f>
        <v>169</v>
      </c>
      <c r="F289" s="217">
        <f t="shared" si="14"/>
        <v>62.360999999999997</v>
      </c>
      <c r="G289" s="405"/>
    </row>
    <row r="290" spans="1:7" x14ac:dyDescent="0.25">
      <c r="A290" s="439" t="str">
        <f>'патриотика0,369'!A319</f>
        <v>Порожек стык 1,8 мербау 37мм ПС03.1800.093</v>
      </c>
      <c r="B290" s="218" t="s">
        <v>82</v>
      </c>
      <c r="C290" s="215"/>
      <c r="D290" s="340">
        <f>'патриотика0,369'!D319</f>
        <v>0.73799999999999999</v>
      </c>
      <c r="E290" s="340">
        <f>'патриотика0,369'!E319</f>
        <v>300</v>
      </c>
      <c r="F290" s="217">
        <f t="shared" si="14"/>
        <v>221.4</v>
      </c>
      <c r="G290" s="405"/>
    </row>
    <row r="291" spans="1:7" x14ac:dyDescent="0.25">
      <c r="A291" s="439" t="str">
        <f>'патриотика0,369'!A320</f>
        <v>Брусок 50*50мм (3м)</v>
      </c>
      <c r="B291" s="218" t="s">
        <v>82</v>
      </c>
      <c r="C291" s="215"/>
      <c r="D291" s="340">
        <f>'патриотика0,369'!D320</f>
        <v>7.38</v>
      </c>
      <c r="E291" s="340">
        <f>'патриотика0,369'!E320</f>
        <v>290</v>
      </c>
      <c r="F291" s="217">
        <f t="shared" si="14"/>
        <v>2140.1999999999998</v>
      </c>
      <c r="G291" s="405"/>
    </row>
    <row r="292" spans="1:7" x14ac:dyDescent="0.25">
      <c r="A292" s="439" t="str">
        <f>'патриотика0,369'!A321</f>
        <v>Фанера березовая 6мм 1525*1525мм ФК сорт 4/4 нш</v>
      </c>
      <c r="B292" s="218" t="s">
        <v>82</v>
      </c>
      <c r="C292" s="215"/>
      <c r="D292" s="340">
        <f>'патриотика0,369'!D321</f>
        <v>2.214</v>
      </c>
      <c r="E292" s="340">
        <f>'патриотика0,369'!E321</f>
        <v>775</v>
      </c>
      <c r="F292" s="217">
        <f t="shared" si="14"/>
        <v>1715.85</v>
      </c>
      <c r="G292" s="405"/>
    </row>
    <row r="293" spans="1:7" x14ac:dyDescent="0.25">
      <c r="A293" s="439" t="str">
        <f>'патриотика0,369'!A322</f>
        <v>Фанера березовая 8мм 1525*1525мм ФК сорт 4/4 нш</v>
      </c>
      <c r="B293" s="218" t="s">
        <v>82</v>
      </c>
      <c r="C293" s="319"/>
      <c r="D293" s="340">
        <f>'патриотика0,369'!D322</f>
        <v>0.73799999999999999</v>
      </c>
      <c r="E293" s="340">
        <f>'патриотика0,369'!E322</f>
        <v>970</v>
      </c>
      <c r="F293" s="217">
        <f t="shared" si="14"/>
        <v>715.86</v>
      </c>
      <c r="G293" s="405"/>
    </row>
    <row r="294" spans="1:7" x14ac:dyDescent="0.25">
      <c r="A294" s="439" t="str">
        <f>'патриотика0,369'!A323</f>
        <v>Эмаль акр.для радиаторов отопления 1кг полуглянцевая (6) OLECOLOR</v>
      </c>
      <c r="B294" s="218" t="s">
        <v>82</v>
      </c>
      <c r="C294" s="319"/>
      <c r="D294" s="340">
        <f>'патриотика0,369'!D323</f>
        <v>0.73799999999999999</v>
      </c>
      <c r="E294" s="340">
        <f>'патриотика0,369'!E323</f>
        <v>420</v>
      </c>
      <c r="F294" s="217">
        <f t="shared" si="14"/>
        <v>309.95999999999998</v>
      </c>
      <c r="G294" s="405"/>
    </row>
    <row r="295" spans="1:7" x14ac:dyDescent="0.25">
      <c r="A295" s="439" t="str">
        <f>'патриотика0,369'!A324</f>
        <v>Лопата снеговая деревянная, 50*50см, с усиленной планкой, "Баба Яга"/1/</v>
      </c>
      <c r="B295" s="218" t="s">
        <v>82</v>
      </c>
      <c r="C295" s="319"/>
      <c r="D295" s="340">
        <f>'патриотика0,369'!D324</f>
        <v>0.36899999999999999</v>
      </c>
      <c r="E295" s="340">
        <f>'патриотика0,369'!E324</f>
        <v>400</v>
      </c>
      <c r="F295" s="217">
        <f t="shared" si="14"/>
        <v>147.6</v>
      </c>
      <c r="G295" s="405"/>
    </row>
    <row r="296" spans="1:7" ht="27" x14ac:dyDescent="0.25">
      <c r="A296" s="439" t="str">
        <f>'патриотика0,369'!A325</f>
        <v>Лопата пласт 380*380мм, с алюминевой планкой, с алюмин.черенком и Д-образной ручкой (5) ЛА-06</v>
      </c>
      <c r="B296" s="218" t="s">
        <v>82</v>
      </c>
      <c r="C296" s="319"/>
      <c r="D296" s="340">
        <f>'патриотика0,369'!D325</f>
        <v>0.36899999999999999</v>
      </c>
      <c r="E296" s="340">
        <f>'патриотика0,369'!E325</f>
        <v>465</v>
      </c>
      <c r="F296" s="217">
        <f t="shared" si="14"/>
        <v>171.58500000000001</v>
      </c>
      <c r="G296" s="405"/>
    </row>
    <row r="297" spans="1:7" ht="27" x14ac:dyDescent="0.25">
      <c r="A297" s="439" t="str">
        <f>'патриотика0,369'!A326</f>
        <v>Коробка распаячная КМР-030-031 с крышкой 8*80*50мм IP 54 EKF, серая /100/</v>
      </c>
      <c r="B297" s="218" t="s">
        <v>82</v>
      </c>
      <c r="C297" s="219"/>
      <c r="D297" s="340">
        <f>'патриотика0,369'!D326</f>
        <v>0.73799999999999999</v>
      </c>
      <c r="E297" s="340">
        <f>'патриотика0,369'!E326</f>
        <v>42</v>
      </c>
      <c r="F297" s="217">
        <f t="shared" si="14"/>
        <v>30.995999999999999</v>
      </c>
      <c r="G297" s="405"/>
    </row>
    <row r="298" spans="1:7" x14ac:dyDescent="0.25">
      <c r="A298" s="439" t="str">
        <f>'патриотика0,369'!A327</f>
        <v>Розетка "Пралеска"   2РА16-303 брызгозащищенная з/к /30/</v>
      </c>
      <c r="B298" s="218" t="s">
        <v>82</v>
      </c>
      <c r="C298" s="319"/>
      <c r="D298" s="340">
        <f>'патриотика0,369'!D327</f>
        <v>0.36899999999999999</v>
      </c>
      <c r="E298" s="340">
        <f>'патриотика0,369'!E327</f>
        <v>220</v>
      </c>
      <c r="F298" s="217">
        <f t="shared" si="14"/>
        <v>81.179999999999993</v>
      </c>
      <c r="G298" s="405"/>
    </row>
    <row r="299" spans="1:7" x14ac:dyDescent="0.25">
      <c r="A299" s="439" t="str">
        <f>'патриотика0,369'!A328</f>
        <v>Провод ВВГ 3*2,5</v>
      </c>
      <c r="B299" s="218" t="s">
        <v>82</v>
      </c>
      <c r="C299" s="319"/>
      <c r="D299" s="340">
        <f>'патриотика0,369'!D328</f>
        <v>3.69</v>
      </c>
      <c r="E299" s="340">
        <f>'патриотика0,369'!E328</f>
        <v>96</v>
      </c>
      <c r="F299" s="217">
        <f t="shared" si="14"/>
        <v>354.24</v>
      </c>
      <c r="G299" s="405"/>
    </row>
    <row r="300" spans="1:7" x14ac:dyDescent="0.25">
      <c r="A300" s="439" t="str">
        <f>'патриотика0,369'!A329</f>
        <v>Щиток защитный TUNDRA корпус пластик 4588909</v>
      </c>
      <c r="B300" s="218" t="s">
        <v>82</v>
      </c>
      <c r="C300" s="347"/>
      <c r="D300" s="340">
        <f>'патриотика0,369'!D329</f>
        <v>0.73799999999999999</v>
      </c>
      <c r="E300" s="340">
        <f>'патриотика0,369'!E329</f>
        <v>217</v>
      </c>
      <c r="F300" s="217">
        <f t="shared" si="14"/>
        <v>160.14599999999999</v>
      </c>
      <c r="G300" s="405"/>
    </row>
    <row r="301" spans="1:7" x14ac:dyDescent="0.25">
      <c r="A301" s="439" t="str">
        <f>'патриотика0,369'!A330</f>
        <v>Щиток защитный СИБИН с экраном из поликарбоната</v>
      </c>
      <c r="B301" s="218" t="s">
        <v>82</v>
      </c>
      <c r="C301" s="347"/>
      <c r="D301" s="340">
        <f>'патриотика0,369'!D330</f>
        <v>0.36899999999999999</v>
      </c>
      <c r="E301" s="340">
        <f>'патриотика0,369'!E330</f>
        <v>235</v>
      </c>
      <c r="F301" s="217">
        <f t="shared" si="14"/>
        <v>86.715000000000003</v>
      </c>
      <c r="G301" s="405"/>
    </row>
    <row r="302" spans="1:7" x14ac:dyDescent="0.25">
      <c r="A302" s="439" t="str">
        <f>'патриотика0,369'!A331</f>
        <v>Замок навесной  Чебоксары ВС-2 М1-02 /20/</v>
      </c>
      <c r="B302" s="218" t="s">
        <v>82</v>
      </c>
      <c r="C302" s="347"/>
      <c r="D302" s="340">
        <f>'патриотика0,369'!D331</f>
        <v>0.36899999999999999</v>
      </c>
      <c r="E302" s="340">
        <f>'патриотика0,369'!E331</f>
        <v>535</v>
      </c>
      <c r="F302" s="217">
        <f t="shared" si="14"/>
        <v>197.41499999999999</v>
      </c>
      <c r="G302" s="405"/>
    </row>
    <row r="303" spans="1:7" x14ac:dyDescent="0.25">
      <c r="A303" s="439" t="str">
        <f>'патриотика0,369'!A332</f>
        <v>Фанера 10 мм (1525х1525) водостойкая , сорт 4/4 , н/ш (2,325 м2)</v>
      </c>
      <c r="B303" s="218" t="s">
        <v>82</v>
      </c>
      <c r="C303" s="347"/>
      <c r="D303" s="340">
        <f>'патриотика0,369'!D332</f>
        <v>0.73799999999999999</v>
      </c>
      <c r="E303" s="340">
        <f>'патриотика0,369'!E332</f>
        <v>1475</v>
      </c>
      <c r="F303" s="217">
        <f t="shared" si="14"/>
        <v>1088.55</v>
      </c>
      <c r="G303" s="405"/>
    </row>
    <row r="304" spans="1:7" x14ac:dyDescent="0.25">
      <c r="A304" s="439" t="str">
        <f>'патриотика0,369'!A333</f>
        <v>Гайка шестигранная цинк DIN 934 М10 (300шт.)</v>
      </c>
      <c r="B304" s="218" t="s">
        <v>82</v>
      </c>
      <c r="C304" s="347"/>
      <c r="D304" s="340">
        <f>'патриотика0,369'!D333</f>
        <v>2.952</v>
      </c>
      <c r="E304" s="340">
        <f>'патриотика0,369'!E333</f>
        <v>4</v>
      </c>
      <c r="F304" s="217">
        <f t="shared" si="14"/>
        <v>11.808</v>
      </c>
      <c r="G304" s="405"/>
    </row>
    <row r="305" spans="1:7" x14ac:dyDescent="0.25">
      <c r="A305" s="439" t="str">
        <f>'патриотика0,369'!A334</f>
        <v>Шайба плоская узкая цинк DIN 125 М12 (500шт.)</v>
      </c>
      <c r="B305" s="218" t="s">
        <v>82</v>
      </c>
      <c r="C305" s="347"/>
      <c r="D305" s="340">
        <f>'патриотика0,369'!D334</f>
        <v>2.952</v>
      </c>
      <c r="E305" s="340">
        <f>'патриотика0,369'!E334</f>
        <v>3</v>
      </c>
      <c r="F305" s="217">
        <f t="shared" si="14"/>
        <v>8.8559999999999999</v>
      </c>
      <c r="G305" s="405"/>
    </row>
    <row r="306" spans="1:7" x14ac:dyDescent="0.25">
      <c r="A306" s="439" t="str">
        <f>'патриотика0,369'!A335</f>
        <v>Шайба пружинная гроверная цинк DIN 127 М12 (500шт.)</v>
      </c>
      <c r="B306" s="218" t="s">
        <v>82</v>
      </c>
      <c r="C306" s="452"/>
      <c r="D306" s="447">
        <f>'патриотика0,369'!D335</f>
        <v>2.952</v>
      </c>
      <c r="E306" s="447">
        <f>'патриотика0,369'!E335</f>
        <v>1.5</v>
      </c>
      <c r="F306" s="217">
        <f t="shared" ref="F306:F369" si="15">D306*E306</f>
        <v>4.4279999999999999</v>
      </c>
    </row>
    <row r="307" spans="1:7" ht="27" x14ac:dyDescent="0.25">
      <c r="A307" s="439" t="str">
        <f>'патриотика0,369'!A336</f>
        <v>Дюбель усиленный 5х40 + саморез головка потай желтый цинк 3,5х45 (20шт)</v>
      </c>
      <c r="B307" s="218" t="s">
        <v>82</v>
      </c>
      <c r="C307" s="452"/>
      <c r="D307" s="447">
        <f>'патриотика0,369'!D336</f>
        <v>0.36899999999999999</v>
      </c>
      <c r="E307" s="447">
        <f>'патриотика0,369'!E336</f>
        <v>50</v>
      </c>
      <c r="F307" s="217">
        <f t="shared" si="15"/>
        <v>18.45</v>
      </c>
    </row>
    <row r="308" spans="1:7" ht="27" x14ac:dyDescent="0.25">
      <c r="A308" s="439" t="str">
        <f>'патриотика0,369'!A337</f>
        <v>Дюбель усиленный 6х25 + саморез головка потай желтый цинк 4,0х30 (20шт)</v>
      </c>
      <c r="B308" s="218" t="s">
        <v>82</v>
      </c>
      <c r="C308" s="452"/>
      <c r="D308" s="447">
        <f>'патриотика0,369'!D337</f>
        <v>0.36899999999999999</v>
      </c>
      <c r="E308" s="447">
        <f>'патриотика0,369'!E337</f>
        <v>50</v>
      </c>
      <c r="F308" s="217">
        <f t="shared" si="15"/>
        <v>18.45</v>
      </c>
    </row>
    <row r="309" spans="1:7" ht="27" x14ac:dyDescent="0.25">
      <c r="A309" s="439" t="str">
        <f>'патриотика0,369'!A338</f>
        <v>Дюбель усиленный 5х30 + саморез головка потай желтый цинк 3,0х35 (24шт)</v>
      </c>
      <c r="B309" s="218" t="s">
        <v>82</v>
      </c>
      <c r="C309" s="452"/>
      <c r="D309" s="447">
        <f>'патриотика0,369'!D338</f>
        <v>0.36899999999999999</v>
      </c>
      <c r="E309" s="447">
        <f>'патриотика0,369'!E338</f>
        <v>50</v>
      </c>
      <c r="F309" s="217">
        <f t="shared" si="15"/>
        <v>18.45</v>
      </c>
    </row>
    <row r="310" spans="1:7" x14ac:dyDescent="0.25">
      <c r="A310" s="439" t="str">
        <f>'патриотика0,369'!A339</f>
        <v>Кабель-канал ПВХ 12*12 (100) SQ0408-0501</v>
      </c>
      <c r="B310" s="218" t="s">
        <v>82</v>
      </c>
      <c r="C310" s="452"/>
      <c r="D310" s="447">
        <f>'патриотика0,369'!D339</f>
        <v>0.36899999999999999</v>
      </c>
      <c r="E310" s="447">
        <f>'патриотика0,369'!E339</f>
        <v>54</v>
      </c>
      <c r="F310" s="217">
        <f t="shared" si="15"/>
        <v>19.925999999999998</v>
      </c>
    </row>
    <row r="311" spans="1:7" x14ac:dyDescent="0.25">
      <c r="A311" s="439" t="str">
        <f>'патриотика0,369'!A340</f>
        <v>Кабель-канал ПВХ 20*10 (80) SQ0408-0503</v>
      </c>
      <c r="B311" s="218" t="s">
        <v>82</v>
      </c>
      <c r="C311" s="452"/>
      <c r="D311" s="447">
        <f>'патриотика0,369'!D340</f>
        <v>0.36899999999999999</v>
      </c>
      <c r="E311" s="447">
        <f>'патриотика0,369'!E340</f>
        <v>46</v>
      </c>
      <c r="F311" s="217">
        <f t="shared" si="15"/>
        <v>16.974</v>
      </c>
    </row>
    <row r="312" spans="1:7" x14ac:dyDescent="0.25">
      <c r="A312" s="439" t="str">
        <f>'патриотика0,369'!A341</f>
        <v>Хомут  червячный "MGF" 16-27мм /50/</v>
      </c>
      <c r="B312" s="218" t="s">
        <v>82</v>
      </c>
      <c r="C312" s="452"/>
      <c r="D312" s="447">
        <f>'патриотика0,369'!D341</f>
        <v>0.73799999999999999</v>
      </c>
      <c r="E312" s="447">
        <f>'патриотика0,369'!E341</f>
        <v>18</v>
      </c>
      <c r="F312" s="217">
        <f t="shared" si="15"/>
        <v>13.283999999999999</v>
      </c>
    </row>
    <row r="313" spans="1:7" x14ac:dyDescent="0.25">
      <c r="A313" s="439" t="str">
        <f>'патриотика0,369'!A342</f>
        <v>Переходник (штуцер) LEXLINE на р/шл 1/2 нар-20, латунь /10/</v>
      </c>
      <c r="B313" s="218" t="s">
        <v>82</v>
      </c>
      <c r="C313" s="452"/>
      <c r="D313" s="447">
        <f>'патриотика0,369'!D342</f>
        <v>0.36899999999999999</v>
      </c>
      <c r="E313" s="447">
        <f>'патриотика0,369'!E342</f>
        <v>80</v>
      </c>
      <c r="F313" s="217">
        <f t="shared" si="15"/>
        <v>29.52</v>
      </c>
    </row>
    <row r="314" spans="1:7" x14ac:dyDescent="0.25">
      <c r="A314" s="439" t="str">
        <f>'патриотика0,369'!A343</f>
        <v>Флянец хвостовика</v>
      </c>
      <c r="B314" s="218" t="s">
        <v>82</v>
      </c>
      <c r="C314" s="452"/>
      <c r="D314" s="447">
        <f>'патриотика0,369'!D343</f>
        <v>0.73799999999999999</v>
      </c>
      <c r="E314" s="447">
        <f>'патриотика0,369'!E343</f>
        <v>785</v>
      </c>
      <c r="F314" s="217">
        <f t="shared" si="15"/>
        <v>579.33000000000004</v>
      </c>
    </row>
    <row r="315" spans="1:7" x14ac:dyDescent="0.25">
      <c r="A315" s="439" t="str">
        <f>'патриотика0,369'!A344</f>
        <v>Датчик коленвала</v>
      </c>
      <c r="B315" s="218" t="s">
        <v>82</v>
      </c>
      <c r="C315" s="452"/>
      <c r="D315" s="447">
        <f>'патриотика0,369'!D344</f>
        <v>0.36899999999999999</v>
      </c>
      <c r="E315" s="447">
        <f>'патриотика0,369'!E344</f>
        <v>650</v>
      </c>
      <c r="F315" s="217">
        <f t="shared" si="15"/>
        <v>239.85</v>
      </c>
    </row>
    <row r="316" spans="1:7" x14ac:dyDescent="0.25">
      <c r="A316" s="439" t="str">
        <f>'патриотика0,369'!A345</f>
        <v>пусковые провода</v>
      </c>
      <c r="B316" s="218" t="s">
        <v>82</v>
      </c>
      <c r="C316" s="452"/>
      <c r="D316" s="447">
        <f>'патриотика0,369'!D345</f>
        <v>0.36899999999999999</v>
      </c>
      <c r="E316" s="447">
        <f>'патриотика0,369'!E345</f>
        <v>500</v>
      </c>
      <c r="F316" s="217">
        <f t="shared" si="15"/>
        <v>184.5</v>
      </c>
    </row>
    <row r="317" spans="1:7" x14ac:dyDescent="0.25">
      <c r="A317" s="439" t="str">
        <f>'патриотика0,369'!A346</f>
        <v>маска медицинская</v>
      </c>
      <c r="B317" s="218" t="s">
        <v>82</v>
      </c>
      <c r="C317" s="452"/>
      <c r="D317" s="447">
        <f>'патриотика0,369'!D346</f>
        <v>2214</v>
      </c>
      <c r="E317" s="447">
        <f>'патриотика0,369'!E346</f>
        <v>2.8</v>
      </c>
      <c r="F317" s="217">
        <f t="shared" si="15"/>
        <v>6199.2</v>
      </c>
    </row>
    <row r="318" spans="1:7" x14ac:dyDescent="0.25">
      <c r="A318" s="439" t="str">
        <f>'патриотика0,369'!A347</f>
        <v>Бумага10*15 глянец 180 гр</v>
      </c>
      <c r="B318" s="218" t="s">
        <v>82</v>
      </c>
      <c r="C318" s="452"/>
      <c r="D318" s="447">
        <f>'патриотика0,369'!D347</f>
        <v>1.476</v>
      </c>
      <c r="E318" s="447">
        <f>'патриотика0,369'!E347</f>
        <v>910</v>
      </c>
      <c r="F318" s="217">
        <f t="shared" si="15"/>
        <v>1343.16</v>
      </c>
    </row>
    <row r="319" spans="1:7" x14ac:dyDescent="0.25">
      <c r="A319" s="439" t="str">
        <f>'патриотика0,369'!A348</f>
        <v>Бумага А4</v>
      </c>
      <c r="B319" s="218" t="s">
        <v>82</v>
      </c>
      <c r="C319" s="452"/>
      <c r="D319" s="447">
        <f>'патриотика0,369'!D348</f>
        <v>23.984999999999999</v>
      </c>
      <c r="E319" s="447">
        <f>'патриотика0,369'!E348</f>
        <v>290</v>
      </c>
      <c r="F319" s="217">
        <f t="shared" si="15"/>
        <v>6955.65</v>
      </c>
    </row>
    <row r="320" spans="1:7" x14ac:dyDescent="0.25">
      <c r="A320" s="439" t="str">
        <f>'патриотика0,369'!A349</f>
        <v>планшет</v>
      </c>
      <c r="B320" s="218" t="s">
        <v>82</v>
      </c>
      <c r="C320" s="452"/>
      <c r="D320" s="447">
        <f>'патриотика0,369'!D349</f>
        <v>3.69</v>
      </c>
      <c r="E320" s="447">
        <f>'патриотика0,369'!E349</f>
        <v>95</v>
      </c>
      <c r="F320" s="217">
        <f t="shared" si="15"/>
        <v>350.55</v>
      </c>
    </row>
    <row r="321" spans="1:6" x14ac:dyDescent="0.25">
      <c r="A321" s="439" t="str">
        <f>'патриотика0,369'!A350</f>
        <v>Бумага А4 цвет</v>
      </c>
      <c r="B321" s="218" t="s">
        <v>82</v>
      </c>
      <c r="C321" s="452"/>
      <c r="D321" s="447">
        <f>'патриотика0,369'!D350</f>
        <v>1.845</v>
      </c>
      <c r="E321" s="447">
        <f>'патриотика0,369'!E350</f>
        <v>949</v>
      </c>
      <c r="F321" s="217">
        <f t="shared" si="15"/>
        <v>1750.905</v>
      </c>
    </row>
    <row r="322" spans="1:6" x14ac:dyDescent="0.25">
      <c r="A322" s="439" t="str">
        <f>'патриотика0,369'!A351</f>
        <v>Бумага 10*15 матовая</v>
      </c>
      <c r="B322" s="218" t="s">
        <v>82</v>
      </c>
      <c r="C322" s="452"/>
      <c r="D322" s="447">
        <f>'патриотика0,369'!D351</f>
        <v>1.476</v>
      </c>
      <c r="E322" s="447">
        <f>'патриотика0,369'!E351</f>
        <v>790</v>
      </c>
      <c r="F322" s="217">
        <f t="shared" si="15"/>
        <v>1166.04</v>
      </c>
    </row>
    <row r="323" spans="1:6" x14ac:dyDescent="0.25">
      <c r="A323" s="439" t="str">
        <f>'патриотика0,369'!A352</f>
        <v>Бумага 10*15 глянец 230 гр</v>
      </c>
      <c r="B323" s="218" t="s">
        <v>82</v>
      </c>
      <c r="C323" s="452"/>
      <c r="D323" s="447">
        <f>'патриотика0,369'!D352</f>
        <v>1.476</v>
      </c>
      <c r="E323" s="447">
        <f>'патриотика0,369'!E352</f>
        <v>1040</v>
      </c>
      <c r="F323" s="217">
        <f t="shared" si="15"/>
        <v>1535.04</v>
      </c>
    </row>
    <row r="324" spans="1:6" x14ac:dyDescent="0.25">
      <c r="A324" s="439" t="str">
        <f>'патриотика0,369'!A353</f>
        <v>Бумага А4 глянец 230 гр</v>
      </c>
      <c r="B324" s="218" t="s">
        <v>82</v>
      </c>
      <c r="C324" s="452"/>
      <c r="D324" s="447">
        <f>'патриотика0,369'!D353</f>
        <v>3.69</v>
      </c>
      <c r="E324" s="447">
        <f>'патриотика0,369'!E353</f>
        <v>790</v>
      </c>
      <c r="F324" s="217">
        <f t="shared" si="15"/>
        <v>2915.1</v>
      </c>
    </row>
    <row r="325" spans="1:6" x14ac:dyDescent="0.25">
      <c r="A325" s="439" t="str">
        <f>'патриотика0,369'!A354</f>
        <v>Бумага А4 матовая 160 гр</v>
      </c>
      <c r="B325" s="218" t="s">
        <v>82</v>
      </c>
      <c r="C325" s="452"/>
      <c r="D325" s="447">
        <f>'патриотика0,369'!D354</f>
        <v>3.69</v>
      </c>
      <c r="E325" s="447">
        <f>'патриотика0,369'!E354</f>
        <v>680</v>
      </c>
      <c r="F325" s="217">
        <f t="shared" si="15"/>
        <v>2509.1999999999998</v>
      </c>
    </row>
    <row r="326" spans="1:6" x14ac:dyDescent="0.25">
      <c r="A326" s="439" t="str">
        <f>'патриотика0,369'!A355</f>
        <v>Бумага А4 матовая 230 гр</v>
      </c>
      <c r="B326" s="218" t="s">
        <v>82</v>
      </c>
      <c r="C326" s="452"/>
      <c r="D326" s="447">
        <f>'патриотика0,369'!D355</f>
        <v>3.69</v>
      </c>
      <c r="E326" s="447">
        <f>'патриотика0,369'!E355</f>
        <v>490</v>
      </c>
      <c r="F326" s="217">
        <f t="shared" si="15"/>
        <v>1808.1</v>
      </c>
    </row>
    <row r="327" spans="1:6" x14ac:dyDescent="0.25">
      <c r="A327" s="439" t="str">
        <f>'патриотика0,369'!A356</f>
        <v>Бумага А4 глянец 240 гр</v>
      </c>
      <c r="B327" s="218" t="s">
        <v>82</v>
      </c>
      <c r="C327" s="452"/>
      <c r="D327" s="447">
        <f>'патриотика0,369'!D356</f>
        <v>3.69</v>
      </c>
      <c r="E327" s="447">
        <f>'патриотика0,369'!E356</f>
        <v>745</v>
      </c>
      <c r="F327" s="217">
        <f t="shared" si="15"/>
        <v>2749.05</v>
      </c>
    </row>
    <row r="328" spans="1:6" x14ac:dyDescent="0.25">
      <c r="A328" s="439" t="str">
        <f>'патриотика0,369'!A357</f>
        <v>скотч 72*56</v>
      </c>
      <c r="B328" s="218" t="s">
        <v>82</v>
      </c>
      <c r="C328" s="452"/>
      <c r="D328" s="447">
        <f>'патриотика0,369'!D357</f>
        <v>7.38</v>
      </c>
      <c r="E328" s="447">
        <f>'патриотика0,369'!E357</f>
        <v>100</v>
      </c>
      <c r="F328" s="217">
        <f t="shared" si="15"/>
        <v>738</v>
      </c>
    </row>
    <row r="329" spans="1:6" x14ac:dyDescent="0.25">
      <c r="A329" s="439" t="str">
        <f>'патриотика0,369'!A358</f>
        <v>скотч 48*100</v>
      </c>
      <c r="B329" s="218" t="s">
        <v>82</v>
      </c>
      <c r="C329" s="452"/>
      <c r="D329" s="447">
        <f>'патриотика0,369'!D358</f>
        <v>7.38</v>
      </c>
      <c r="E329" s="447">
        <f>'патриотика0,369'!E358</f>
        <v>90</v>
      </c>
      <c r="F329" s="217">
        <f t="shared" si="15"/>
        <v>664.2</v>
      </c>
    </row>
    <row r="330" spans="1:6" x14ac:dyDescent="0.25">
      <c r="A330" s="439" t="str">
        <f>'патриотика0,369'!A359</f>
        <v>блок самоклей</v>
      </c>
      <c r="B330" s="218" t="s">
        <v>82</v>
      </c>
      <c r="C330" s="452"/>
      <c r="D330" s="447">
        <f>'патриотика0,369'!D359</f>
        <v>1.845</v>
      </c>
      <c r="E330" s="447">
        <f>'патриотика0,369'!E359</f>
        <v>290</v>
      </c>
      <c r="F330" s="217">
        <f t="shared" si="15"/>
        <v>535.04999999999995</v>
      </c>
    </row>
    <row r="331" spans="1:6" x14ac:dyDescent="0.25">
      <c r="A331" s="439" t="str">
        <f>'патриотика0,369'!A360</f>
        <v>папка-регистратор</v>
      </c>
      <c r="B331" s="218" t="s">
        <v>82</v>
      </c>
      <c r="C331" s="452"/>
      <c r="D331" s="447">
        <f>'патриотика0,369'!D360</f>
        <v>14.76</v>
      </c>
      <c r="E331" s="447">
        <f>'патриотика0,369'!E360</f>
        <v>200</v>
      </c>
      <c r="F331" s="217">
        <f t="shared" si="15"/>
        <v>2952</v>
      </c>
    </row>
    <row r="332" spans="1:6" x14ac:dyDescent="0.25">
      <c r="A332" s="439" t="str">
        <f>'патриотика0,369'!A361</f>
        <v>картон белый</v>
      </c>
      <c r="B332" s="218" t="s">
        <v>82</v>
      </c>
      <c r="C332" s="452"/>
      <c r="D332" s="447">
        <f>'патриотика0,369'!D361</f>
        <v>3.69</v>
      </c>
      <c r="E332" s="447">
        <f>'патриотика0,369'!E361</f>
        <v>350</v>
      </c>
      <c r="F332" s="217">
        <f t="shared" si="15"/>
        <v>1291.5</v>
      </c>
    </row>
    <row r="333" spans="1:6" x14ac:dyDescent="0.25">
      <c r="A333" s="439" t="str">
        <f>'патриотика0,369'!A362</f>
        <v>пружина 51 мм</v>
      </c>
      <c r="B333" s="218" t="s">
        <v>82</v>
      </c>
      <c r="C333" s="452"/>
      <c r="D333" s="447">
        <f>'патриотика0,369'!D362</f>
        <v>7.38</v>
      </c>
      <c r="E333" s="447">
        <f>'патриотика0,369'!E362</f>
        <v>50</v>
      </c>
      <c r="F333" s="217">
        <f t="shared" si="15"/>
        <v>369</v>
      </c>
    </row>
    <row r="334" spans="1:6" x14ac:dyDescent="0.25">
      <c r="A334" s="439" t="str">
        <f>'патриотика0,369'!A363</f>
        <v>скотч 15 мм</v>
      </c>
      <c r="B334" s="218" t="s">
        <v>82</v>
      </c>
      <c r="C334" s="452"/>
      <c r="D334" s="447">
        <f>'патриотика0,369'!D363</f>
        <v>18.45</v>
      </c>
      <c r="E334" s="447">
        <f>'патриотика0,369'!E363</f>
        <v>15</v>
      </c>
      <c r="F334" s="217">
        <f t="shared" si="15"/>
        <v>276.75</v>
      </c>
    </row>
    <row r="335" spans="1:6" x14ac:dyDescent="0.25">
      <c r="A335" s="439" t="str">
        <f>'патриотика0,369'!A364</f>
        <v>бейдж</v>
      </c>
      <c r="B335" s="218" t="s">
        <v>82</v>
      </c>
      <c r="C335" s="452"/>
      <c r="D335" s="447">
        <f>'патриотика0,369'!D364</f>
        <v>7.38</v>
      </c>
      <c r="E335" s="447">
        <f>'патриотика0,369'!E364</f>
        <v>50</v>
      </c>
      <c r="F335" s="217">
        <f t="shared" si="15"/>
        <v>369</v>
      </c>
    </row>
    <row r="336" spans="1:6" x14ac:dyDescent="0.25">
      <c r="A336" s="439" t="str">
        <f>'патриотика0,369'!A365</f>
        <v>шнурок для бейджа</v>
      </c>
      <c r="B336" s="218" t="s">
        <v>82</v>
      </c>
      <c r="C336" s="452"/>
      <c r="D336" s="447">
        <f>'патриотика0,369'!D365</f>
        <v>7.38</v>
      </c>
      <c r="E336" s="447">
        <f>'патриотика0,369'!E365</f>
        <v>20</v>
      </c>
      <c r="F336" s="217">
        <f t="shared" si="15"/>
        <v>147.6</v>
      </c>
    </row>
    <row r="337" spans="1:9" x14ac:dyDescent="0.25">
      <c r="A337" s="439" t="str">
        <f>'патриотика0,369'!A366</f>
        <v>блокнот для флипчарта</v>
      </c>
      <c r="B337" s="218" t="s">
        <v>82</v>
      </c>
      <c r="C337" s="452"/>
      <c r="D337" s="447">
        <f>'патриотика0,369'!D366</f>
        <v>1.845</v>
      </c>
      <c r="E337" s="447">
        <f>'патриотика0,369'!E366</f>
        <v>320</v>
      </c>
      <c r="F337" s="217">
        <f t="shared" si="15"/>
        <v>590.4</v>
      </c>
    </row>
    <row r="338" spans="1:9" x14ac:dyDescent="0.25">
      <c r="A338" s="439" t="str">
        <f>'патриотика0,369'!A367</f>
        <v>бумага писчая</v>
      </c>
      <c r="B338" s="218" t="s">
        <v>82</v>
      </c>
      <c r="C338" s="452"/>
      <c r="D338" s="447">
        <f>'патриотика0,369'!D367</f>
        <v>3.69</v>
      </c>
      <c r="E338" s="447">
        <f>'патриотика0,369'!E367</f>
        <v>285</v>
      </c>
      <c r="F338" s="217">
        <f t="shared" si="15"/>
        <v>1051.6500000000001</v>
      </c>
    </row>
    <row r="339" spans="1:9" x14ac:dyDescent="0.25">
      <c r="A339" s="439" t="str">
        <f>'патриотика0,369'!A368</f>
        <v>фоторамка дерево</v>
      </c>
      <c r="B339" s="218" t="s">
        <v>82</v>
      </c>
      <c r="C339" s="452"/>
      <c r="D339" s="447">
        <f>'патриотика0,369'!D368</f>
        <v>36.9</v>
      </c>
      <c r="E339" s="447">
        <f>'патриотика0,369'!E368</f>
        <v>135</v>
      </c>
      <c r="F339" s="217">
        <f t="shared" si="15"/>
        <v>4981.5</v>
      </c>
    </row>
    <row r="340" spans="1:9" ht="14.45" customHeight="1" x14ac:dyDescent="0.25">
      <c r="A340" s="439" t="str">
        <f>'патриотика0,369'!A369</f>
        <v>фоторамка пластик</v>
      </c>
      <c r="B340" s="218" t="s">
        <v>82</v>
      </c>
      <c r="C340" s="452"/>
      <c r="D340" s="447">
        <f>'патриотика0,369'!D369</f>
        <v>27.675000000000001</v>
      </c>
      <c r="E340" s="447">
        <f>'патриотика0,369'!E369</f>
        <v>150</v>
      </c>
      <c r="F340" s="217">
        <f t="shared" si="15"/>
        <v>4151.25</v>
      </c>
      <c r="H340" s="315"/>
      <c r="I340" s="114"/>
    </row>
    <row r="341" spans="1:9" x14ac:dyDescent="0.25">
      <c r="A341" s="439" t="str">
        <f>'патриотика0,369'!A370</f>
        <v>фоторамка пластик</v>
      </c>
      <c r="B341" s="218" t="s">
        <v>82</v>
      </c>
      <c r="C341" s="452"/>
      <c r="D341" s="447">
        <f>'патриотика0,369'!D370</f>
        <v>27.675000000000001</v>
      </c>
      <c r="E341" s="447">
        <f>'патриотика0,369'!E370</f>
        <v>165</v>
      </c>
      <c r="F341" s="217">
        <f t="shared" si="15"/>
        <v>4566.375</v>
      </c>
      <c r="H341" s="315"/>
      <c r="I341" s="114"/>
    </row>
    <row r="342" spans="1:9" x14ac:dyDescent="0.25">
      <c r="A342" s="439" t="str">
        <f>'патриотика0,369'!A371</f>
        <v>батарейка ААА 24 шт /уп</v>
      </c>
      <c r="B342" s="218" t="s">
        <v>82</v>
      </c>
      <c r="C342" s="452"/>
      <c r="D342" s="447">
        <f>'патриотика0,369'!D371</f>
        <v>1.107</v>
      </c>
      <c r="E342" s="447">
        <f>'патриотика0,369'!E371</f>
        <v>665</v>
      </c>
      <c r="F342" s="217">
        <f t="shared" si="15"/>
        <v>736.15499999999997</v>
      </c>
      <c r="H342" s="315"/>
      <c r="I342" s="114"/>
    </row>
    <row r="343" spans="1:9" ht="16.899999999999999" customHeight="1" x14ac:dyDescent="0.25">
      <c r="A343" s="439" t="str">
        <f>'патриотика0,369'!A372</f>
        <v>батарейка ААА 12 шт /уп</v>
      </c>
      <c r="B343" s="218" t="s">
        <v>82</v>
      </c>
      <c r="C343" s="452"/>
      <c r="D343" s="447">
        <f>'патриотика0,369'!D372</f>
        <v>0.73799999999999999</v>
      </c>
      <c r="E343" s="447">
        <f>'патриотика0,369'!E372</f>
        <v>1025</v>
      </c>
      <c r="F343" s="217">
        <f t="shared" si="15"/>
        <v>756.45</v>
      </c>
      <c r="H343" s="315"/>
      <c r="I343" s="114"/>
    </row>
    <row r="344" spans="1:9" ht="15.6" customHeight="1" x14ac:dyDescent="0.25">
      <c r="A344" s="439" t="str">
        <f>'патриотика0,369'!A373</f>
        <v>батарейка АА 24 шт /уп</v>
      </c>
      <c r="B344" s="218" t="s">
        <v>82</v>
      </c>
      <c r="C344" s="452"/>
      <c r="D344" s="447">
        <f>'патриотика0,369'!D373</f>
        <v>0.73799999999999999</v>
      </c>
      <c r="E344" s="447">
        <f>'патриотика0,369'!E373</f>
        <v>510</v>
      </c>
      <c r="F344" s="217">
        <f t="shared" si="15"/>
        <v>376.38</v>
      </c>
      <c r="H344" s="315"/>
      <c r="I344" s="114"/>
    </row>
    <row r="345" spans="1:9" x14ac:dyDescent="0.25">
      <c r="A345" s="439" t="str">
        <f>'патриотика0,369'!A374</f>
        <v>батарейка АА 18 шт /уп</v>
      </c>
      <c r="B345" s="218" t="s">
        <v>82</v>
      </c>
      <c r="C345" s="452"/>
      <c r="D345" s="447">
        <f>'патриотика0,369'!D374</f>
        <v>1.107</v>
      </c>
      <c r="E345" s="447">
        <f>'патриотика0,369'!E374</f>
        <v>950</v>
      </c>
      <c r="F345" s="217">
        <f t="shared" si="15"/>
        <v>1051.6500000000001</v>
      </c>
      <c r="H345" s="315"/>
      <c r="I345" s="114"/>
    </row>
    <row r="346" spans="1:9" x14ac:dyDescent="0.25">
      <c r="A346" s="439" t="str">
        <f>'патриотика0,369'!A375</f>
        <v xml:space="preserve">вилка </v>
      </c>
      <c r="B346" s="218" t="s">
        <v>82</v>
      </c>
      <c r="C346" s="452"/>
      <c r="D346" s="447">
        <f>'патриотика0,369'!D375</f>
        <v>1.107</v>
      </c>
      <c r="E346" s="447">
        <f>'патриотика0,369'!E375</f>
        <v>90</v>
      </c>
      <c r="F346" s="217">
        <f t="shared" si="15"/>
        <v>99.63</v>
      </c>
      <c r="H346" s="315"/>
      <c r="I346" s="114"/>
    </row>
    <row r="347" spans="1:9" x14ac:dyDescent="0.25">
      <c r="A347" s="439" t="str">
        <f>'патриотика0,369'!A376</f>
        <v>четверник</v>
      </c>
      <c r="B347" s="218" t="s">
        <v>82</v>
      </c>
      <c r="C347" s="452"/>
      <c r="D347" s="447">
        <f>'патриотика0,369'!D376</f>
        <v>0.36899999999999999</v>
      </c>
      <c r="E347" s="447">
        <f>'патриотика0,369'!E376</f>
        <v>220</v>
      </c>
      <c r="F347" s="217">
        <f t="shared" si="15"/>
        <v>81.179999999999993</v>
      </c>
      <c r="H347" s="315"/>
      <c r="I347" s="114"/>
    </row>
    <row r="348" spans="1:9" x14ac:dyDescent="0.25">
      <c r="A348" s="439" t="str">
        <f>'патриотика0,369'!A377</f>
        <v>четверник</v>
      </c>
      <c r="B348" s="218" t="s">
        <v>82</v>
      </c>
      <c r="C348" s="452"/>
      <c r="D348" s="447">
        <f>'патриотика0,369'!D377</f>
        <v>0.36899999999999999</v>
      </c>
      <c r="E348" s="447">
        <f>'патриотика0,369'!E377</f>
        <v>164</v>
      </c>
      <c r="F348" s="217">
        <f t="shared" si="15"/>
        <v>60.515999999999998</v>
      </c>
      <c r="H348" s="315"/>
      <c r="I348" s="114"/>
    </row>
    <row r="349" spans="1:9" x14ac:dyDescent="0.25">
      <c r="A349" s="439" t="str">
        <f>'патриотика0,369'!A378</f>
        <v>пугнп</v>
      </c>
      <c r="B349" s="218" t="s">
        <v>82</v>
      </c>
      <c r="C349" s="452"/>
      <c r="D349" s="447">
        <f>'патриотика0,369'!D378</f>
        <v>11.808</v>
      </c>
      <c r="E349" s="447">
        <f>'патриотика0,369'!E378</f>
        <v>47</v>
      </c>
      <c r="F349" s="217">
        <f t="shared" si="15"/>
        <v>554.976</v>
      </c>
      <c r="H349" s="315"/>
      <c r="I349" s="114"/>
    </row>
    <row r="350" spans="1:9" x14ac:dyDescent="0.25">
      <c r="A350" s="439" t="str">
        <f>'патриотика0,369'!A379</f>
        <v>лампа накаливания</v>
      </c>
      <c r="B350" s="218" t="s">
        <v>82</v>
      </c>
      <c r="C350" s="452"/>
      <c r="D350" s="447">
        <f>'патриотика0,369'!D379</f>
        <v>2.5830000000000002</v>
      </c>
      <c r="E350" s="447">
        <f>'патриотика0,369'!E379</f>
        <v>34</v>
      </c>
      <c r="F350" s="217">
        <f t="shared" si="15"/>
        <v>87.822000000000003</v>
      </c>
      <c r="H350" s="315"/>
      <c r="I350" s="114"/>
    </row>
    <row r="351" spans="1:9" x14ac:dyDescent="0.25">
      <c r="A351" s="439" t="str">
        <f>'патриотика0,369'!A380</f>
        <v>ключ трубный</v>
      </c>
      <c r="B351" s="218" t="s">
        <v>82</v>
      </c>
      <c r="C351" s="452"/>
      <c r="D351" s="447">
        <f>'патриотика0,369'!D380</f>
        <v>0.36899999999999999</v>
      </c>
      <c r="E351" s="447">
        <f>'патриотика0,369'!E380</f>
        <v>847</v>
      </c>
      <c r="F351" s="217">
        <f t="shared" si="15"/>
        <v>312.54300000000001</v>
      </c>
      <c r="H351" s="315"/>
      <c r="I351" s="114"/>
    </row>
    <row r="352" spans="1:9" x14ac:dyDescent="0.25">
      <c r="A352" s="439" t="str">
        <f>'патриотика0,369'!A381</f>
        <v>лента фум</v>
      </c>
      <c r="B352" s="218" t="s">
        <v>82</v>
      </c>
      <c r="C352" s="452"/>
      <c r="D352" s="447">
        <f>'патриотика0,369'!D381</f>
        <v>0.36899999999999999</v>
      </c>
      <c r="E352" s="447">
        <f>'патриотика0,369'!E381</f>
        <v>140</v>
      </c>
      <c r="F352" s="217">
        <f t="shared" si="15"/>
        <v>51.66</v>
      </c>
      <c r="H352" s="315"/>
      <c r="I352" s="114"/>
    </row>
    <row r="353" spans="1:9" x14ac:dyDescent="0.25">
      <c r="A353" s="439" t="str">
        <f>'патриотика0,369'!A382</f>
        <v>защелка замка</v>
      </c>
      <c r="B353" s="218" t="s">
        <v>82</v>
      </c>
      <c r="C353" s="452"/>
      <c r="D353" s="447">
        <f>'патриотика0,369'!D382</f>
        <v>0.36899999999999999</v>
      </c>
      <c r="E353" s="447">
        <f>'патриотика0,369'!E382</f>
        <v>554</v>
      </c>
      <c r="F353" s="217">
        <f t="shared" si="15"/>
        <v>204.42599999999999</v>
      </c>
      <c r="H353" s="315"/>
      <c r="I353" s="114"/>
    </row>
    <row r="354" spans="1:9" x14ac:dyDescent="0.25">
      <c r="A354" s="439" t="str">
        <f>'патриотика0,369'!A383</f>
        <v>стержни клеевые по керамике</v>
      </c>
      <c r="B354" s="218" t="s">
        <v>82</v>
      </c>
      <c r="C354" s="452"/>
      <c r="D354" s="447">
        <f>'патриотика0,369'!D383</f>
        <v>3.69</v>
      </c>
      <c r="E354" s="447">
        <f>'патриотика0,369'!E383</f>
        <v>180</v>
      </c>
      <c r="F354" s="217">
        <f t="shared" si="15"/>
        <v>664.2</v>
      </c>
      <c r="H354" s="315"/>
      <c r="I354" s="114"/>
    </row>
    <row r="355" spans="1:9" x14ac:dyDescent="0.25">
      <c r="A355" s="439" t="str">
        <f>'патриотика0,369'!A384</f>
        <v>щит распределительный</v>
      </c>
      <c r="B355" s="218" t="s">
        <v>82</v>
      </c>
      <c r="C355" s="452"/>
      <c r="D355" s="447">
        <f>'патриотика0,369'!D384</f>
        <v>0.36899999999999999</v>
      </c>
      <c r="E355" s="447">
        <f>'патриотика0,369'!E384</f>
        <v>2362</v>
      </c>
      <c r="F355" s="217">
        <f t="shared" si="15"/>
        <v>871.57799999999997</v>
      </c>
      <c r="H355" s="315"/>
      <c r="I355" s="114"/>
    </row>
    <row r="356" spans="1:9" x14ac:dyDescent="0.25">
      <c r="A356" s="439" t="str">
        <f>'патриотика0,369'!A385</f>
        <v>фен технический</v>
      </c>
      <c r="B356" s="218" t="s">
        <v>82</v>
      </c>
      <c r="C356" s="452"/>
      <c r="D356" s="447">
        <f>'патриотика0,369'!D385</f>
        <v>0.36899999999999999</v>
      </c>
      <c r="E356" s="447">
        <f>'патриотика0,369'!E385</f>
        <v>2048</v>
      </c>
      <c r="F356" s="217">
        <f t="shared" si="15"/>
        <v>755.71199999999999</v>
      </c>
      <c r="H356" s="315"/>
      <c r="I356" s="114"/>
    </row>
    <row r="357" spans="1:9" x14ac:dyDescent="0.25">
      <c r="A357" s="439" t="str">
        <f>'патриотика0,369'!A386</f>
        <v>струбцина</v>
      </c>
      <c r="B357" s="218" t="s">
        <v>82</v>
      </c>
      <c r="C357" s="452"/>
      <c r="D357" s="447">
        <f>'патриотика0,369'!D386</f>
        <v>0.36899999999999999</v>
      </c>
      <c r="E357" s="447">
        <f>'патриотика0,369'!E386</f>
        <v>142</v>
      </c>
      <c r="F357" s="217">
        <f t="shared" si="15"/>
        <v>52.397999999999996</v>
      </c>
      <c r="H357" s="315"/>
      <c r="I357" s="114"/>
    </row>
    <row r="358" spans="1:9" x14ac:dyDescent="0.25">
      <c r="A358" s="439" t="str">
        <f>'патриотика0,369'!A387</f>
        <v>набор струбцины</v>
      </c>
      <c r="B358" s="218" t="s">
        <v>82</v>
      </c>
      <c r="C358" s="452"/>
      <c r="D358" s="447">
        <f>'патриотика0,369'!D387</f>
        <v>0.36899999999999999</v>
      </c>
      <c r="E358" s="447">
        <f>'патриотика0,369'!E387</f>
        <v>370</v>
      </c>
      <c r="F358" s="217">
        <f t="shared" si="15"/>
        <v>136.53</v>
      </c>
      <c r="H358" s="315"/>
      <c r="I358" s="114"/>
    </row>
    <row r="359" spans="1:9" x14ac:dyDescent="0.25">
      <c r="A359" s="439" t="str">
        <f>'патриотика0,369'!A388</f>
        <v>сверло по бетону</v>
      </c>
      <c r="B359" s="218" t="s">
        <v>82</v>
      </c>
      <c r="C359" s="452"/>
      <c r="D359" s="447">
        <f>'патриотика0,369'!D388</f>
        <v>0.36899999999999999</v>
      </c>
      <c r="E359" s="447">
        <f>'патриотика0,369'!E388</f>
        <v>77</v>
      </c>
      <c r="F359" s="217">
        <f t="shared" si="15"/>
        <v>28.413</v>
      </c>
      <c r="H359" s="315"/>
      <c r="I359" s="114"/>
    </row>
    <row r="360" spans="1:9" x14ac:dyDescent="0.25">
      <c r="A360" s="439" t="str">
        <f>'патриотика0,369'!A389</f>
        <v>кисть Акор работы по дереву</v>
      </c>
      <c r="B360" s="218" t="s">
        <v>82</v>
      </c>
      <c r="C360" s="452"/>
      <c r="D360" s="447">
        <f>'патриотика0,369'!D389</f>
        <v>3.3209999999999997</v>
      </c>
      <c r="E360" s="447">
        <f>'патриотика0,369'!E389</f>
        <v>35</v>
      </c>
      <c r="F360" s="217">
        <f t="shared" si="15"/>
        <v>116.23499999999999</v>
      </c>
      <c r="H360" s="315"/>
      <c r="I360" s="114"/>
    </row>
    <row r="361" spans="1:9" x14ac:dyDescent="0.25">
      <c r="A361" s="439" t="str">
        <f>'патриотика0,369'!A390</f>
        <v>эмаль аэрозоль желтая 520 мл</v>
      </c>
      <c r="B361" s="218" t="s">
        <v>82</v>
      </c>
      <c r="C361" s="452"/>
      <c r="D361" s="447">
        <f>'патриотика0,369'!D390</f>
        <v>0.36899999999999999</v>
      </c>
      <c r="E361" s="447">
        <f>'патриотика0,369'!E390</f>
        <v>213</v>
      </c>
      <c r="F361" s="217">
        <f t="shared" si="15"/>
        <v>78.596999999999994</v>
      </c>
      <c r="H361" s="315"/>
      <c r="I361" s="114"/>
    </row>
    <row r="362" spans="1:9" x14ac:dyDescent="0.25">
      <c r="A362" s="439" t="str">
        <f>'патриотика0,369'!A391</f>
        <v>эмаль аэрозоль голубая 520 мл</v>
      </c>
      <c r="B362" s="218" t="s">
        <v>82</v>
      </c>
      <c r="C362" s="452"/>
      <c r="D362" s="447">
        <f>'патриотика0,369'!D391</f>
        <v>1.107</v>
      </c>
      <c r="E362" s="447">
        <f>'патриотика0,369'!E391</f>
        <v>205</v>
      </c>
      <c r="F362" s="217">
        <f t="shared" si="15"/>
        <v>226.935</v>
      </c>
      <c r="H362" s="315"/>
      <c r="I362" s="114"/>
    </row>
    <row r="363" spans="1:9" x14ac:dyDescent="0.25">
      <c r="A363" s="439" t="str">
        <f>'патриотика0,369'!A392</f>
        <v>набор инструментов зубр</v>
      </c>
      <c r="B363" s="218" t="s">
        <v>82</v>
      </c>
      <c r="C363" s="452"/>
      <c r="D363" s="447">
        <f>'патриотика0,369'!D392</f>
        <v>0.36899999999999999</v>
      </c>
      <c r="E363" s="447">
        <f>'патриотика0,369'!E392</f>
        <v>3534</v>
      </c>
      <c r="F363" s="217">
        <f t="shared" si="15"/>
        <v>1304.046</v>
      </c>
      <c r="H363" s="315"/>
      <c r="I363" s="114"/>
    </row>
    <row r="364" spans="1:9" x14ac:dyDescent="0.25">
      <c r="A364" s="439" t="str">
        <f>'патриотика0,369'!A393</f>
        <v>набор сьемников для панели</v>
      </c>
      <c r="B364" s="218" t="s">
        <v>82</v>
      </c>
      <c r="C364" s="452"/>
      <c r="D364" s="447">
        <f>'патриотика0,369'!D393</f>
        <v>0.36899999999999999</v>
      </c>
      <c r="E364" s="447">
        <f>'патриотика0,369'!E393</f>
        <v>583</v>
      </c>
      <c r="F364" s="217">
        <f t="shared" si="15"/>
        <v>215.12700000000001</v>
      </c>
      <c r="H364" s="315"/>
      <c r="I364" s="114"/>
    </row>
    <row r="365" spans="1:9" x14ac:dyDescent="0.25">
      <c r="A365" s="439" t="str">
        <f>'патриотика0,369'!A394</f>
        <v>смазка проникающая</v>
      </c>
      <c r="B365" s="218" t="s">
        <v>82</v>
      </c>
      <c r="C365" s="452"/>
      <c r="D365" s="447">
        <f>'патриотика0,369'!D394</f>
        <v>0.36899999999999999</v>
      </c>
      <c r="E365" s="447">
        <f>'патриотика0,369'!E394</f>
        <v>122</v>
      </c>
      <c r="F365" s="217">
        <f t="shared" si="15"/>
        <v>45.018000000000001</v>
      </c>
      <c r="H365" s="315"/>
      <c r="I365" s="114"/>
    </row>
    <row r="366" spans="1:9" x14ac:dyDescent="0.25">
      <c r="A366" s="439" t="str">
        <f>'патриотика0,369'!A395</f>
        <v>воронка уфа</v>
      </c>
      <c r="B366" s="218" t="s">
        <v>82</v>
      </c>
      <c r="C366" s="452"/>
      <c r="D366" s="447">
        <f>'патриотика0,369'!D395</f>
        <v>0.36899999999999999</v>
      </c>
      <c r="E366" s="447">
        <f>'патриотика0,369'!E395</f>
        <v>130</v>
      </c>
      <c r="F366" s="217">
        <f t="shared" si="15"/>
        <v>47.97</v>
      </c>
      <c r="H366" s="315"/>
      <c r="I366" s="114"/>
    </row>
    <row r="367" spans="1:9" x14ac:dyDescent="0.25">
      <c r="A367" s="439" t="str">
        <f>'патриотика0,369'!A396</f>
        <v>угол крепежный усиленный</v>
      </c>
      <c r="B367" s="218" t="s">
        <v>82</v>
      </c>
      <c r="C367" s="452"/>
      <c r="D367" s="447">
        <f>'патриотика0,369'!D396</f>
        <v>2.214</v>
      </c>
      <c r="E367" s="447">
        <f>'патриотика0,369'!E396</f>
        <v>110</v>
      </c>
      <c r="F367" s="217">
        <f t="shared" si="15"/>
        <v>243.54</v>
      </c>
      <c r="H367" s="315"/>
      <c r="I367" s="114"/>
    </row>
    <row r="368" spans="1:9" x14ac:dyDescent="0.25">
      <c r="A368" s="439" t="str">
        <f>'патриотика0,369'!A397</f>
        <v>обои винил</v>
      </c>
      <c r="B368" s="218" t="s">
        <v>82</v>
      </c>
      <c r="C368" s="452"/>
      <c r="D368" s="447">
        <f>'патриотика0,369'!D397</f>
        <v>1.476</v>
      </c>
      <c r="E368" s="447">
        <f>'патриотика0,369'!E397</f>
        <v>652</v>
      </c>
      <c r="F368" s="217">
        <f t="shared" si="15"/>
        <v>962.35199999999998</v>
      </c>
      <c r="H368" s="315"/>
      <c r="I368" s="114"/>
    </row>
    <row r="369" spans="1:9" x14ac:dyDescent="0.25">
      <c r="A369" s="439" t="str">
        <f>'патриотика0,369'!A398</f>
        <v>альба обои влагостойкие</v>
      </c>
      <c r="B369" s="218" t="s">
        <v>82</v>
      </c>
      <c r="C369" s="452"/>
      <c r="D369" s="447">
        <f>'патриотика0,369'!D398</f>
        <v>0.73799999999999999</v>
      </c>
      <c r="E369" s="447">
        <f>'патриотика0,369'!E398</f>
        <v>406</v>
      </c>
      <c r="F369" s="217">
        <f t="shared" si="15"/>
        <v>299.62799999999999</v>
      </c>
      <c r="H369" s="315"/>
      <c r="I369" s="114"/>
    </row>
    <row r="370" spans="1:9" x14ac:dyDescent="0.25">
      <c r="A370" s="439" t="str">
        <f>'патриотика0,369'!A399</f>
        <v>эмаль пф-266 алк. Красно-коричневая</v>
      </c>
      <c r="B370" s="218" t="s">
        <v>82</v>
      </c>
      <c r="C370" s="452"/>
      <c r="D370" s="447">
        <f>'патриотика0,369'!D399</f>
        <v>0.73799999999999999</v>
      </c>
      <c r="E370" s="447">
        <f>'патриотика0,369'!E399</f>
        <v>625</v>
      </c>
      <c r="F370" s="217">
        <f t="shared" ref="F370:F433" si="16">D370*E370</f>
        <v>461.25</v>
      </c>
      <c r="H370" s="315"/>
      <c r="I370" s="114"/>
    </row>
    <row r="371" spans="1:9" x14ac:dyDescent="0.25">
      <c r="A371" s="439" t="str">
        <f>'патриотика0,369'!A400</f>
        <v>эмаль олеколор пф-115 алк белая</v>
      </c>
      <c r="B371" s="218" t="s">
        <v>82</v>
      </c>
      <c r="C371" s="452"/>
      <c r="D371" s="447">
        <f>'патриотика0,369'!D400</f>
        <v>0.36899999999999999</v>
      </c>
      <c r="E371" s="447">
        <f>'патриотика0,369'!E400</f>
        <v>262</v>
      </c>
      <c r="F371" s="217">
        <f t="shared" si="16"/>
        <v>96.677999999999997</v>
      </c>
      <c r="H371" s="315"/>
      <c r="I371" s="114"/>
    </row>
    <row r="372" spans="1:9" x14ac:dyDescent="0.25">
      <c r="A372" s="439" t="str">
        <f>'патриотика0,369'!A401</f>
        <v>валик Акор мастер240*8</v>
      </c>
      <c r="B372" s="218" t="s">
        <v>82</v>
      </c>
      <c r="C372" s="452"/>
      <c r="D372" s="447">
        <f>'патриотика0,369'!D401</f>
        <v>0.36899999999999999</v>
      </c>
      <c r="E372" s="447">
        <f>'патриотика0,369'!E401</f>
        <v>220</v>
      </c>
      <c r="F372" s="217">
        <f t="shared" si="16"/>
        <v>81.179999999999993</v>
      </c>
      <c r="H372" s="315"/>
      <c r="I372" s="114"/>
    </row>
    <row r="373" spans="1:9" x14ac:dyDescent="0.25">
      <c r="A373" s="439" t="str">
        <f>'патриотика0,369'!A402</f>
        <v>кисть акор столичная</v>
      </c>
      <c r="B373" s="218" t="s">
        <v>82</v>
      </c>
      <c r="C373" s="452"/>
      <c r="D373" s="447">
        <f>'патриотика0,369'!D402</f>
        <v>0.73799999999999999</v>
      </c>
      <c r="E373" s="447">
        <f>'патриотика0,369'!E402</f>
        <v>39</v>
      </c>
      <c r="F373" s="217">
        <f t="shared" si="16"/>
        <v>28.782</v>
      </c>
      <c r="H373" s="315"/>
      <c r="I373" s="114"/>
    </row>
    <row r="374" spans="1:9" x14ac:dyDescent="0.25">
      <c r="A374" s="439" t="str">
        <f>'патриотика0,369'!A403</f>
        <v>клей обойный</v>
      </c>
      <c r="B374" s="218" t="s">
        <v>82</v>
      </c>
      <c r="C374" s="452"/>
      <c r="D374" s="447">
        <f>'патриотика0,369'!D403</f>
        <v>0.36899999999999999</v>
      </c>
      <c r="E374" s="447">
        <f>'патриотика0,369'!E403</f>
        <v>380</v>
      </c>
      <c r="F374" s="217">
        <f t="shared" si="16"/>
        <v>140.22</v>
      </c>
      <c r="H374" s="315"/>
      <c r="I374" s="114"/>
    </row>
    <row r="375" spans="1:9" x14ac:dyDescent="0.25">
      <c r="A375" s="439" t="str">
        <f>'патриотика0,369'!A404</f>
        <v>удлинитель нильсон</v>
      </c>
      <c r="B375" s="218" t="s">
        <v>82</v>
      </c>
      <c r="C375" s="452"/>
      <c r="D375" s="447">
        <f>'патриотика0,369'!D404</f>
        <v>0.73799999999999999</v>
      </c>
      <c r="E375" s="447">
        <f>'патриотика0,369'!E404</f>
        <v>671</v>
      </c>
      <c r="F375" s="217">
        <f t="shared" si="16"/>
        <v>495.19799999999998</v>
      </c>
      <c r="H375" s="315"/>
      <c r="I375" s="114"/>
    </row>
    <row r="376" spans="1:9" x14ac:dyDescent="0.25">
      <c r="A376" s="439" t="str">
        <f>'патриотика0,369'!A405</f>
        <v>штора рул 180 см</v>
      </c>
      <c r="B376" s="218" t="s">
        <v>82</v>
      </c>
      <c r="C376" s="452"/>
      <c r="D376" s="447">
        <f>'патриотика0,369'!D405</f>
        <v>0.36899999999999999</v>
      </c>
      <c r="E376" s="447">
        <f>'патриотика0,369'!E405</f>
        <v>2880</v>
      </c>
      <c r="F376" s="217">
        <f t="shared" si="16"/>
        <v>1062.72</v>
      </c>
      <c r="H376" s="315"/>
      <c r="I376" s="114"/>
    </row>
    <row r="377" spans="1:9" x14ac:dyDescent="0.25">
      <c r="A377" s="439" t="str">
        <f>'патриотика0,369'!A406</f>
        <v>штора рул 150 см</v>
      </c>
      <c r="B377" s="218" t="s">
        <v>82</v>
      </c>
      <c r="C377" s="452"/>
      <c r="D377" s="447">
        <f>'патриотика0,369'!D406</f>
        <v>0.36899999999999999</v>
      </c>
      <c r="E377" s="447">
        <f>'патриотика0,369'!E406</f>
        <v>2480</v>
      </c>
      <c r="F377" s="217">
        <f t="shared" si="16"/>
        <v>915.12</v>
      </c>
      <c r="H377" s="315"/>
      <c r="I377" s="114"/>
    </row>
    <row r="378" spans="1:9" x14ac:dyDescent="0.25">
      <c r="A378" s="439" t="str">
        <f>'патриотика0,369'!A407</f>
        <v>клей космофен</v>
      </c>
      <c r="B378" s="218" t="s">
        <v>82</v>
      </c>
      <c r="C378" s="452"/>
      <c r="D378" s="447">
        <f>'патриотика0,369'!D407</f>
        <v>0.73799999999999999</v>
      </c>
      <c r="E378" s="447">
        <f>'патриотика0,369'!E407</f>
        <v>180</v>
      </c>
      <c r="F378" s="217">
        <f t="shared" si="16"/>
        <v>132.84</v>
      </c>
      <c r="H378" s="315"/>
      <c r="I378" s="114"/>
    </row>
    <row r="379" spans="1:9" x14ac:dyDescent="0.25">
      <c r="A379" s="439" t="str">
        <f>'патриотика0,369'!A408</f>
        <v>обои ротанг</v>
      </c>
      <c r="B379" s="218" t="s">
        <v>82</v>
      </c>
      <c r="C379" s="452"/>
      <c r="D379" s="447">
        <f>'патриотика0,369'!D408</f>
        <v>1.845</v>
      </c>
      <c r="E379" s="447">
        <f>'патриотика0,369'!E408</f>
        <v>180</v>
      </c>
      <c r="F379" s="217">
        <f t="shared" si="16"/>
        <v>332.1</v>
      </c>
      <c r="H379" s="315"/>
      <c r="I379" s="114"/>
    </row>
    <row r="380" spans="1:9" x14ac:dyDescent="0.25">
      <c r="A380" s="439" t="str">
        <f>'патриотика0,369'!A409</f>
        <v>эмаль пф-115</v>
      </c>
      <c r="B380" s="218" t="s">
        <v>82</v>
      </c>
      <c r="C380" s="452"/>
      <c r="D380" s="447">
        <f>'патриотика0,369'!D409</f>
        <v>0.36899999999999999</v>
      </c>
      <c r="E380" s="447">
        <f>'патриотика0,369'!E409</f>
        <v>1291</v>
      </c>
      <c r="F380" s="217">
        <f t="shared" si="16"/>
        <v>476.37900000000002</v>
      </c>
      <c r="H380" s="315"/>
      <c r="I380" s="114"/>
    </row>
    <row r="381" spans="1:9" x14ac:dyDescent="0.25">
      <c r="A381" s="439" t="str">
        <f>'патриотика0,369'!A410</f>
        <v>обои альба</v>
      </c>
      <c r="B381" s="218" t="s">
        <v>82</v>
      </c>
      <c r="C381" s="452"/>
      <c r="D381" s="447">
        <f>'патриотика0,369'!D410</f>
        <v>0.36899999999999999</v>
      </c>
      <c r="E381" s="447">
        <f>'патриотика0,369'!E410</f>
        <v>162.4</v>
      </c>
      <c r="F381" s="217">
        <f t="shared" si="16"/>
        <v>59.925600000000003</v>
      </c>
      <c r="H381" s="315"/>
      <c r="I381" s="114"/>
    </row>
    <row r="382" spans="1:9" x14ac:dyDescent="0.25">
      <c r="A382" s="439" t="str">
        <f>'патриотика0,369'!A411</f>
        <v>гвозди строит</v>
      </c>
      <c r="B382" s="218" t="s">
        <v>82</v>
      </c>
      <c r="C382" s="452"/>
      <c r="D382" s="447">
        <f>'патриотика0,369'!D411</f>
        <v>1.107</v>
      </c>
      <c r="E382" s="447">
        <f>'патриотика0,369'!E411</f>
        <v>100</v>
      </c>
      <c r="F382" s="217">
        <f t="shared" si="16"/>
        <v>110.7</v>
      </c>
      <c r="H382" s="315"/>
      <c r="I382" s="114"/>
    </row>
    <row r="383" spans="1:9" x14ac:dyDescent="0.25">
      <c r="A383" s="439" t="str">
        <f>'патриотика0,369'!A412</f>
        <v>молоток кованый</v>
      </c>
      <c r="B383" s="218" t="s">
        <v>82</v>
      </c>
      <c r="C383" s="452"/>
      <c r="D383" s="447">
        <f>'патриотика0,369'!D412</f>
        <v>0.36899999999999999</v>
      </c>
      <c r="E383" s="447">
        <f>'патриотика0,369'!E412</f>
        <v>212</v>
      </c>
      <c r="F383" s="217">
        <f t="shared" si="16"/>
        <v>78.227999999999994</v>
      </c>
      <c r="H383" s="315"/>
      <c r="I383" s="114"/>
    </row>
    <row r="384" spans="1:9" x14ac:dyDescent="0.25">
      <c r="A384" s="439" t="str">
        <f>'патриотика0,369'!A413</f>
        <v>фанера береза</v>
      </c>
      <c r="B384" s="218" t="s">
        <v>82</v>
      </c>
      <c r="C384" s="452"/>
      <c r="D384" s="447">
        <f>'патриотика0,369'!D413</f>
        <v>3.69</v>
      </c>
      <c r="E384" s="447">
        <f>'патриотика0,369'!E413</f>
        <v>775</v>
      </c>
      <c r="F384" s="217">
        <f t="shared" si="16"/>
        <v>2859.75</v>
      </c>
      <c r="H384" s="315"/>
      <c r="I384" s="114"/>
    </row>
    <row r="385" spans="1:9" x14ac:dyDescent="0.25">
      <c r="A385" s="439" t="str">
        <f>'патриотика0,369'!A414</f>
        <v>проступь черная</v>
      </c>
      <c r="B385" s="218" t="s">
        <v>82</v>
      </c>
      <c r="C385" s="452"/>
      <c r="D385" s="447">
        <f>'патриотика0,369'!D414</f>
        <v>0.73799999999999999</v>
      </c>
      <c r="E385" s="447">
        <f>'патриотика0,369'!E414</f>
        <v>1100</v>
      </c>
      <c r="F385" s="217">
        <f t="shared" si="16"/>
        <v>811.8</v>
      </c>
      <c r="H385" s="315"/>
      <c r="I385" s="114"/>
    </row>
    <row r="386" spans="1:9" x14ac:dyDescent="0.25">
      <c r="A386" s="439" t="str">
        <f>'патриотика0,369'!A415</f>
        <v>коврик влаговпит</v>
      </c>
      <c r="B386" s="218" t="s">
        <v>82</v>
      </c>
      <c r="C386" s="452"/>
      <c r="D386" s="447">
        <f>'патриотика0,369'!D415</f>
        <v>0.73799999999999999</v>
      </c>
      <c r="E386" s="447">
        <f>'патриотика0,369'!E415</f>
        <v>680</v>
      </c>
      <c r="F386" s="217">
        <f t="shared" si="16"/>
        <v>501.84</v>
      </c>
      <c r="H386" s="315"/>
      <c r="I386" s="114"/>
    </row>
    <row r="387" spans="1:9" x14ac:dyDescent="0.25">
      <c r="A387" s="439" t="str">
        <f>'патриотика0,369'!A416</f>
        <v>угол крепежный</v>
      </c>
      <c r="B387" s="218" t="s">
        <v>82</v>
      </c>
      <c r="C387" s="452"/>
      <c r="D387" s="447">
        <f>'патриотика0,369'!D416</f>
        <v>7.38</v>
      </c>
      <c r="E387" s="447">
        <f>'патриотика0,369'!E416</f>
        <v>13</v>
      </c>
      <c r="F387" s="217">
        <f t="shared" si="16"/>
        <v>95.94</v>
      </c>
      <c r="H387" s="315"/>
      <c r="I387" s="114"/>
    </row>
    <row r="388" spans="1:9" x14ac:dyDescent="0.25">
      <c r="A388" s="439" t="str">
        <f>'патриотика0,369'!A417</f>
        <v>петля накладная</v>
      </c>
      <c r="B388" s="218" t="s">
        <v>82</v>
      </c>
      <c r="C388" s="452"/>
      <c r="D388" s="447">
        <f>'патриотика0,369'!D417</f>
        <v>0.73799999999999999</v>
      </c>
      <c r="E388" s="447">
        <f>'патриотика0,369'!E417</f>
        <v>26</v>
      </c>
      <c r="F388" s="217">
        <f t="shared" si="16"/>
        <v>19.187999999999999</v>
      </c>
      <c r="H388" s="315"/>
      <c r="I388" s="114"/>
    </row>
    <row r="389" spans="1:9" x14ac:dyDescent="0.25">
      <c r="A389" s="439" t="str">
        <f>'патриотика0,369'!A418</f>
        <v>проушина</v>
      </c>
      <c r="B389" s="218" t="s">
        <v>82</v>
      </c>
      <c r="C389" s="452"/>
      <c r="D389" s="447">
        <f>'патриотика0,369'!D418</f>
        <v>0.73799999999999999</v>
      </c>
      <c r="E389" s="447">
        <f>'патриотика0,369'!E418</f>
        <v>8</v>
      </c>
      <c r="F389" s="217">
        <f t="shared" si="16"/>
        <v>5.9039999999999999</v>
      </c>
      <c r="H389" s="315"/>
      <c r="I389" s="114"/>
    </row>
    <row r="390" spans="1:9" x14ac:dyDescent="0.25">
      <c r="A390" s="439" t="str">
        <f>'патриотика0,369'!A419</f>
        <v>домкрат</v>
      </c>
      <c r="B390" s="218" t="s">
        <v>82</v>
      </c>
      <c r="C390" s="452"/>
      <c r="D390" s="447">
        <f>'патриотика0,369'!D419</f>
        <v>0.36899999999999999</v>
      </c>
      <c r="E390" s="447">
        <f>'патриотика0,369'!E419</f>
        <v>3837</v>
      </c>
      <c r="F390" s="217">
        <f t="shared" si="16"/>
        <v>1415.8530000000001</v>
      </c>
      <c r="H390" s="315"/>
      <c r="I390" s="114"/>
    </row>
    <row r="391" spans="1:9" x14ac:dyDescent="0.25">
      <c r="A391" s="439" t="str">
        <f>'патриотика0,369'!A420</f>
        <v>скотч упаковочный</v>
      </c>
      <c r="B391" s="218" t="s">
        <v>82</v>
      </c>
      <c r="C391" s="452"/>
      <c r="D391" s="447">
        <f>'патриотика0,369'!D420</f>
        <v>1.845</v>
      </c>
      <c r="E391" s="447">
        <f>'патриотика0,369'!E420</f>
        <v>110</v>
      </c>
      <c r="F391" s="217">
        <f t="shared" si="16"/>
        <v>202.95</v>
      </c>
      <c r="H391" s="315"/>
      <c r="I391" s="114"/>
    </row>
    <row r="392" spans="1:9" ht="15" customHeight="1" x14ac:dyDescent="0.25">
      <c r="A392" s="439" t="str">
        <f>'патриотика0,369'!A421</f>
        <v>скотч 48мм</v>
      </c>
      <c r="B392" s="218" t="s">
        <v>82</v>
      </c>
      <c r="C392" s="452"/>
      <c r="D392" s="447">
        <f>'патриотика0,369'!D421</f>
        <v>2.214</v>
      </c>
      <c r="E392" s="447">
        <f>'патриотика0,369'!E421</f>
        <v>54</v>
      </c>
      <c r="F392" s="217">
        <f t="shared" si="16"/>
        <v>119.556</v>
      </c>
      <c r="H392" s="315"/>
      <c r="I392" s="114"/>
    </row>
    <row r="393" spans="1:9" x14ac:dyDescent="0.25">
      <c r="A393" s="439" t="str">
        <f>'патриотика0,369'!A422</f>
        <v>сердцевина цам</v>
      </c>
      <c r="B393" s="218" t="s">
        <v>82</v>
      </c>
      <c r="C393" s="452"/>
      <c r="D393" s="447">
        <f>'патриотика0,369'!D422</f>
        <v>0.36899999999999999</v>
      </c>
      <c r="E393" s="447">
        <f>'патриотика0,369'!E422</f>
        <v>232</v>
      </c>
      <c r="F393" s="217">
        <f t="shared" si="16"/>
        <v>85.608000000000004</v>
      </c>
      <c r="H393" s="315"/>
      <c r="I393" s="114"/>
    </row>
    <row r="394" spans="1:9" x14ac:dyDescent="0.25">
      <c r="A394" s="439" t="str">
        <f>'патриотика0,369'!A423</f>
        <v>прожектор светодиод</v>
      </c>
      <c r="B394" s="218" t="s">
        <v>82</v>
      </c>
      <c r="C394" s="452"/>
      <c r="D394" s="447">
        <f>'патриотика0,369'!D423</f>
        <v>0.73799999999999999</v>
      </c>
      <c r="E394" s="447">
        <f>'патриотика0,369'!E423</f>
        <v>400</v>
      </c>
      <c r="F394" s="217">
        <f t="shared" si="16"/>
        <v>295.2</v>
      </c>
      <c r="H394" s="315"/>
      <c r="I394" s="114"/>
    </row>
    <row r="395" spans="1:9" x14ac:dyDescent="0.25">
      <c r="A395" s="439" t="str">
        <f>'патриотика0,369'!A424</f>
        <v>эмаль акрил белая 0,8 кг</v>
      </c>
      <c r="B395" s="218" t="s">
        <v>82</v>
      </c>
      <c r="C395" s="452"/>
      <c r="D395" s="447">
        <f>'патриотика0,369'!D424</f>
        <v>0.36899999999999999</v>
      </c>
      <c r="E395" s="447">
        <f>'патриотика0,369'!E424</f>
        <v>380</v>
      </c>
      <c r="F395" s="217">
        <f t="shared" si="16"/>
        <v>140.22</v>
      </c>
      <c r="H395" s="315"/>
      <c r="I395" s="114"/>
    </row>
    <row r="396" spans="1:9" x14ac:dyDescent="0.25">
      <c r="A396" s="439" t="str">
        <f>'патриотика0,369'!A425</f>
        <v>универс колер 80 мл алый</v>
      </c>
      <c r="B396" s="218" t="s">
        <v>82</v>
      </c>
      <c r="C396" s="452"/>
      <c r="D396" s="447">
        <f>'патриотика0,369'!D425</f>
        <v>0.36899999999999999</v>
      </c>
      <c r="E396" s="447">
        <f>'патриотика0,369'!E425</f>
        <v>175</v>
      </c>
      <c r="F396" s="217">
        <f t="shared" si="16"/>
        <v>64.575000000000003</v>
      </c>
      <c r="H396" s="315"/>
      <c r="I396" s="114"/>
    </row>
    <row r="397" spans="1:9" x14ac:dyDescent="0.25">
      <c r="A397" s="439" t="str">
        <f>'патриотика0,369'!A426</f>
        <v>универс колер 80 мл зеленый</v>
      </c>
      <c r="B397" s="218" t="s">
        <v>82</v>
      </c>
      <c r="C397" s="452"/>
      <c r="D397" s="447">
        <f>'патриотика0,369'!D426</f>
        <v>0.36899999999999999</v>
      </c>
      <c r="E397" s="447">
        <f>'патриотика0,369'!E426</f>
        <v>175</v>
      </c>
      <c r="F397" s="217">
        <f t="shared" si="16"/>
        <v>64.575000000000003</v>
      </c>
      <c r="H397" s="315"/>
      <c r="I397" s="114"/>
    </row>
    <row r="398" spans="1:9" x14ac:dyDescent="0.25">
      <c r="A398" s="439" t="str">
        <f>'патриотика0,369'!A427</f>
        <v>кран бабочка</v>
      </c>
      <c r="B398" s="218" t="s">
        <v>82</v>
      </c>
      <c r="C398" s="452"/>
      <c r="D398" s="447">
        <f>'патриотика0,369'!D427</f>
        <v>5.9039999999999999</v>
      </c>
      <c r="E398" s="447">
        <f>'патриотика0,369'!E427</f>
        <v>980</v>
      </c>
      <c r="F398" s="217">
        <f t="shared" si="16"/>
        <v>5785.92</v>
      </c>
      <c r="H398" s="315"/>
      <c r="I398" s="114"/>
    </row>
    <row r="399" spans="1:9" x14ac:dyDescent="0.25">
      <c r="A399" s="439" t="str">
        <f>'патриотика0,369'!A428</f>
        <v>вдк интерьерная</v>
      </c>
      <c r="B399" s="218" t="s">
        <v>82</v>
      </c>
      <c r="C399" s="452"/>
      <c r="D399" s="447">
        <f>'патриотика0,369'!D428</f>
        <v>0.36899999999999999</v>
      </c>
      <c r="E399" s="447">
        <f>'патриотика0,369'!E428</f>
        <v>382</v>
      </c>
      <c r="F399" s="217">
        <f t="shared" si="16"/>
        <v>140.958</v>
      </c>
      <c r="H399" s="315"/>
      <c r="I399" s="114"/>
    </row>
    <row r="400" spans="1:9" x14ac:dyDescent="0.25">
      <c r="A400" s="439" t="str">
        <f>'патриотика0,369'!A429</f>
        <v>замок навесной</v>
      </c>
      <c r="B400" s="218" t="s">
        <v>82</v>
      </c>
      <c r="C400" s="452"/>
      <c r="D400" s="447">
        <f>'патриотика0,369'!D429</f>
        <v>0.36899999999999999</v>
      </c>
      <c r="E400" s="447">
        <f>'патриотика0,369'!E429</f>
        <v>159</v>
      </c>
      <c r="F400" s="217">
        <f t="shared" si="16"/>
        <v>58.670999999999999</v>
      </c>
      <c r="H400" s="315"/>
      <c r="I400" s="114"/>
    </row>
    <row r="401" spans="1:9" x14ac:dyDescent="0.25">
      <c r="A401" s="439" t="str">
        <f>'патриотика0,369'!A430</f>
        <v>петля накладная 85 левая</v>
      </c>
      <c r="B401" s="218" t="s">
        <v>82</v>
      </c>
      <c r="C401" s="452"/>
      <c r="D401" s="447">
        <f>'патриотика0,369'!D430</f>
        <v>0.73799999999999999</v>
      </c>
      <c r="E401" s="447">
        <f>'патриотика0,369'!E430</f>
        <v>36</v>
      </c>
      <c r="F401" s="217">
        <f t="shared" si="16"/>
        <v>26.567999999999998</v>
      </c>
      <c r="H401" s="315"/>
      <c r="I401" s="114"/>
    </row>
    <row r="402" spans="1:9" x14ac:dyDescent="0.25">
      <c r="A402" s="439" t="str">
        <f>'патриотика0,369'!A431</f>
        <v>петля накладная 70 правая</v>
      </c>
      <c r="B402" s="218" t="s">
        <v>82</v>
      </c>
      <c r="C402" s="452"/>
      <c r="D402" s="447">
        <f>'патриотика0,369'!D431</f>
        <v>2.952</v>
      </c>
      <c r="E402" s="447">
        <f>'патриотика0,369'!E431</f>
        <v>26</v>
      </c>
      <c r="F402" s="217">
        <f t="shared" si="16"/>
        <v>76.751999999999995</v>
      </c>
      <c r="H402" s="315"/>
      <c r="I402" s="114"/>
    </row>
    <row r="403" spans="1:9" x14ac:dyDescent="0.25">
      <c r="A403" s="439" t="str">
        <f>'патриотика0,369'!A432</f>
        <v>крючок ветровой</v>
      </c>
      <c r="B403" s="218" t="s">
        <v>82</v>
      </c>
      <c r="C403" s="452"/>
      <c r="D403" s="447">
        <f>'патриотика0,369'!D432</f>
        <v>2.952</v>
      </c>
      <c r="E403" s="447">
        <f>'патриотика0,369'!E432</f>
        <v>22</v>
      </c>
      <c r="F403" s="217">
        <f t="shared" si="16"/>
        <v>64.944000000000003</v>
      </c>
      <c r="H403" s="315"/>
      <c r="I403" s="114"/>
    </row>
    <row r="404" spans="1:9" x14ac:dyDescent="0.25">
      <c r="A404" s="439" t="str">
        <f>'патриотика0,369'!A433</f>
        <v>ручка-скоба</v>
      </c>
      <c r="B404" s="218" t="s">
        <v>82</v>
      </c>
      <c r="C404" s="452"/>
      <c r="D404" s="447">
        <f>'патриотика0,369'!D433</f>
        <v>0.73799999999999999</v>
      </c>
      <c r="E404" s="447">
        <f>'патриотика0,369'!E433</f>
        <v>32</v>
      </c>
      <c r="F404" s="217">
        <f t="shared" si="16"/>
        <v>23.616</v>
      </c>
      <c r="H404" s="315"/>
      <c r="I404" s="114"/>
    </row>
    <row r="405" spans="1:9" x14ac:dyDescent="0.25">
      <c r="A405" s="439" t="str">
        <f>'патриотика0,369'!A434</f>
        <v>фанера 10 мм</v>
      </c>
      <c r="B405" s="218" t="s">
        <v>82</v>
      </c>
      <c r="C405" s="452"/>
      <c r="D405" s="447">
        <f>'патриотика0,369'!D434</f>
        <v>1.476</v>
      </c>
      <c r="E405" s="447">
        <f>'патриотика0,369'!E434</f>
        <v>1475</v>
      </c>
      <c r="F405" s="217">
        <f t="shared" si="16"/>
        <v>2177.1</v>
      </c>
      <c r="H405" s="315"/>
      <c r="I405" s="114"/>
    </row>
    <row r="406" spans="1:9" x14ac:dyDescent="0.25">
      <c r="A406" s="439" t="str">
        <f>'патриотика0,369'!A435</f>
        <v>фанера 20 мм</v>
      </c>
      <c r="B406" s="218" t="s">
        <v>82</v>
      </c>
      <c r="C406" s="452"/>
      <c r="D406" s="447">
        <f>'патриотика0,369'!D435</f>
        <v>0.73799999999999999</v>
      </c>
      <c r="E406" s="447">
        <f>'патриотика0,369'!E435</f>
        <v>2355</v>
      </c>
      <c r="F406" s="217">
        <f t="shared" si="16"/>
        <v>1737.99</v>
      </c>
      <c r="H406" s="315"/>
      <c r="I406" s="114"/>
    </row>
    <row r="407" spans="1:9" x14ac:dyDescent="0.25">
      <c r="A407" s="439" t="str">
        <f>'патриотика0,369'!A436</f>
        <v>заглушка торцевая</v>
      </c>
      <c r="B407" s="218" t="s">
        <v>82</v>
      </c>
      <c r="C407" s="452"/>
      <c r="D407" s="447">
        <f>'патриотика0,369'!D436</f>
        <v>3.69</v>
      </c>
      <c r="E407" s="447">
        <f>'патриотика0,369'!E436</f>
        <v>25</v>
      </c>
      <c r="F407" s="217">
        <f t="shared" si="16"/>
        <v>92.25</v>
      </c>
      <c r="H407" s="315"/>
      <c r="I407" s="114"/>
    </row>
    <row r="408" spans="1:9" x14ac:dyDescent="0.25">
      <c r="A408" s="439" t="str">
        <f>'патриотика0,369'!A437</f>
        <v>проступь черная</v>
      </c>
      <c r="B408" s="218" t="s">
        <v>82</v>
      </c>
      <c r="C408" s="452"/>
      <c r="D408" s="447">
        <f>'патриотика0,369'!D437</f>
        <v>0.36899999999999999</v>
      </c>
      <c r="E408" s="447">
        <f>'патриотика0,369'!E437</f>
        <v>1100</v>
      </c>
      <c r="F408" s="217">
        <f t="shared" si="16"/>
        <v>405.9</v>
      </c>
      <c r="H408" s="315"/>
      <c r="I408" s="114"/>
    </row>
    <row r="409" spans="1:9" x14ac:dyDescent="0.25">
      <c r="A409" s="439" t="str">
        <f>'патриотика0,369'!A438</f>
        <v>замок врезной</v>
      </c>
      <c r="B409" s="218" t="s">
        <v>82</v>
      </c>
      <c r="C409" s="452"/>
      <c r="D409" s="447">
        <f>'патриотика0,369'!D438</f>
        <v>1.476</v>
      </c>
      <c r="E409" s="447">
        <f>'патриотика0,369'!E438</f>
        <v>416</v>
      </c>
      <c r="F409" s="217">
        <f t="shared" si="16"/>
        <v>614.01599999999996</v>
      </c>
      <c r="H409" s="315"/>
      <c r="I409" s="114"/>
    </row>
    <row r="410" spans="1:9" x14ac:dyDescent="0.25">
      <c r="A410" s="439" t="str">
        <f>'патриотика0,369'!A439</f>
        <v>диск шлифовальный</v>
      </c>
      <c r="B410" s="218" t="s">
        <v>82</v>
      </c>
      <c r="C410" s="452"/>
      <c r="D410" s="447">
        <f>'патриотика0,369'!D439</f>
        <v>0.36899999999999999</v>
      </c>
      <c r="E410" s="447">
        <f>'патриотика0,369'!E439</f>
        <v>309</v>
      </c>
      <c r="F410" s="217">
        <f t="shared" si="16"/>
        <v>114.021</v>
      </c>
      <c r="H410" s="315"/>
      <c r="I410" s="114"/>
    </row>
    <row r="411" spans="1:9" x14ac:dyDescent="0.25">
      <c r="A411" s="439" t="str">
        <f>'патриотика0,369'!A440</f>
        <v>порожек стык</v>
      </c>
      <c r="B411" s="218" t="s">
        <v>82</v>
      </c>
      <c r="C411" s="452"/>
      <c r="D411" s="447">
        <f>'патриотика0,369'!D440</f>
        <v>2.214</v>
      </c>
      <c r="E411" s="447">
        <f>'патриотика0,369'!E440</f>
        <v>245</v>
      </c>
      <c r="F411" s="217">
        <f t="shared" si="16"/>
        <v>542.42999999999995</v>
      </c>
      <c r="H411" s="315"/>
      <c r="I411" s="114"/>
    </row>
    <row r="412" spans="1:9" x14ac:dyDescent="0.25">
      <c r="A412" s="439" t="str">
        <f>'патриотика0,369'!A441</f>
        <v>порожек стык</v>
      </c>
      <c r="B412" s="218" t="s">
        <v>82</v>
      </c>
      <c r="C412" s="452"/>
      <c r="D412" s="447">
        <f>'патриотика0,369'!D441</f>
        <v>1.107</v>
      </c>
      <c r="E412" s="447">
        <f>'патриотика0,369'!E441</f>
        <v>240</v>
      </c>
      <c r="F412" s="217">
        <f t="shared" si="16"/>
        <v>265.68</v>
      </c>
      <c r="H412" s="315"/>
      <c r="I412" s="114"/>
    </row>
    <row r="413" spans="1:9" x14ac:dyDescent="0.25">
      <c r="A413" s="439" t="str">
        <f>'патриотика0,369'!A442</f>
        <v>грунтовка акрил 5 кг</v>
      </c>
      <c r="B413" s="218" t="s">
        <v>82</v>
      </c>
      <c r="C413" s="452"/>
      <c r="D413" s="447">
        <f>'патриотика0,369'!D442</f>
        <v>0.36899999999999999</v>
      </c>
      <c r="E413" s="447">
        <f>'патриотика0,369'!E442</f>
        <v>465</v>
      </c>
      <c r="F413" s="217">
        <f t="shared" si="16"/>
        <v>171.58500000000001</v>
      </c>
      <c r="H413" s="315"/>
      <c r="I413" s="114"/>
    </row>
    <row r="414" spans="1:9" x14ac:dyDescent="0.25">
      <c r="A414" s="439" t="str">
        <f>'патриотика0,369'!A443</f>
        <v>скребок снеговой</v>
      </c>
      <c r="B414" s="218" t="s">
        <v>82</v>
      </c>
      <c r="C414" s="452"/>
      <c r="D414" s="447">
        <f>'патриотика0,369'!D443</f>
        <v>0.36899999999999999</v>
      </c>
      <c r="E414" s="447">
        <f>'патриотика0,369'!E443</f>
        <v>2100</v>
      </c>
      <c r="F414" s="217">
        <f t="shared" si="16"/>
        <v>774.9</v>
      </c>
      <c r="H414" s="315"/>
      <c r="I414" s="114"/>
    </row>
    <row r="415" spans="1:9" ht="15" customHeight="1" x14ac:dyDescent="0.25">
      <c r="A415" s="439" t="str">
        <f>'патриотика0,369'!A444</f>
        <v>обивка для двери эконом</v>
      </c>
      <c r="B415" s="218" t="s">
        <v>82</v>
      </c>
      <c r="C415" s="452"/>
      <c r="D415" s="447">
        <f>'патриотика0,369'!D444</f>
        <v>1.476</v>
      </c>
      <c r="E415" s="447">
        <f>'патриотика0,369'!E444</f>
        <v>561</v>
      </c>
      <c r="F415" s="217">
        <f t="shared" si="16"/>
        <v>828.03599999999994</v>
      </c>
      <c r="H415" s="315"/>
      <c r="I415" s="114"/>
    </row>
    <row r="416" spans="1:9" x14ac:dyDescent="0.25">
      <c r="A416" s="439" t="str">
        <f>'патриотика0,369'!A445</f>
        <v>клей момент-монтаж</v>
      </c>
      <c r="B416" s="218" t="s">
        <v>82</v>
      </c>
      <c r="C416" s="452"/>
      <c r="D416" s="447">
        <f>'патриотика0,369'!D445</f>
        <v>0.73799999999999999</v>
      </c>
      <c r="E416" s="447">
        <f>'патриотика0,369'!E445</f>
        <v>395</v>
      </c>
      <c r="F416" s="217">
        <f t="shared" si="16"/>
        <v>291.51</v>
      </c>
      <c r="H416" s="315"/>
      <c r="I416" s="114"/>
    </row>
    <row r="417" spans="1:9" x14ac:dyDescent="0.25">
      <c r="A417" s="439" t="str">
        <f>'патриотика0,369'!A446</f>
        <v>кисть акор 38*13</v>
      </c>
      <c r="B417" s="218" t="s">
        <v>82</v>
      </c>
      <c r="C417" s="452"/>
      <c r="D417" s="447">
        <f>'патриотика0,369'!D446</f>
        <v>0.36899999999999999</v>
      </c>
      <c r="E417" s="447">
        <f>'патриотика0,369'!E446</f>
        <v>50</v>
      </c>
      <c r="F417" s="217">
        <f t="shared" si="16"/>
        <v>18.45</v>
      </c>
      <c r="H417" s="315"/>
      <c r="I417" s="114"/>
    </row>
    <row r="418" spans="1:9" x14ac:dyDescent="0.25">
      <c r="A418" s="439" t="str">
        <f>'патриотика0,369'!A447</f>
        <v>кисть акор 25*10</v>
      </c>
      <c r="B418" s="218" t="s">
        <v>82</v>
      </c>
      <c r="C418" s="452"/>
      <c r="D418" s="447">
        <f>'патриотика0,369'!D447</f>
        <v>0.36899999999999999</v>
      </c>
      <c r="E418" s="447">
        <f>'патриотика0,369'!E447</f>
        <v>40</v>
      </c>
      <c r="F418" s="217">
        <f t="shared" si="16"/>
        <v>14.76</v>
      </c>
      <c r="H418" s="315"/>
      <c r="I418" s="114"/>
    </row>
    <row r="419" spans="1:9" x14ac:dyDescent="0.25">
      <c r="A419" s="439" t="str">
        <f>'патриотика0,369'!A448</f>
        <v>саморез с прессшайбой</v>
      </c>
      <c r="B419" s="218" t="s">
        <v>82</v>
      </c>
      <c r="C419" s="452"/>
      <c r="D419" s="447">
        <f>'патриотика0,369'!D448</f>
        <v>18.45</v>
      </c>
      <c r="E419" s="447">
        <f>'патриотика0,369'!E448</f>
        <v>1</v>
      </c>
      <c r="F419" s="217">
        <f t="shared" si="16"/>
        <v>18.45</v>
      </c>
      <c r="H419" s="315"/>
      <c r="I419" s="114"/>
    </row>
    <row r="420" spans="1:9" x14ac:dyDescent="0.25">
      <c r="A420" s="439" t="str">
        <f>'патриотика0,369'!A449</f>
        <v>грунт алк серый 2,1</v>
      </c>
      <c r="B420" s="218" t="s">
        <v>82</v>
      </c>
      <c r="C420" s="452"/>
      <c r="D420" s="447">
        <f>'патриотика0,369'!D449</f>
        <v>0.36899999999999999</v>
      </c>
      <c r="E420" s="447">
        <f>'патриотика0,369'!E449</f>
        <v>468</v>
      </c>
      <c r="F420" s="217">
        <f t="shared" si="16"/>
        <v>172.69200000000001</v>
      </c>
      <c r="H420" s="315"/>
      <c r="I420" s="114"/>
    </row>
    <row r="421" spans="1:9" x14ac:dyDescent="0.25">
      <c r="A421" s="439" t="str">
        <f>'патриотика0,369'!A450</f>
        <v>грунт алк серый 1 кг</v>
      </c>
      <c r="B421" s="218" t="s">
        <v>82</v>
      </c>
      <c r="C421" s="452"/>
      <c r="D421" s="447">
        <f>'патриотика0,369'!D450</f>
        <v>0.36899999999999999</v>
      </c>
      <c r="E421" s="447">
        <f>'патриотика0,369'!E450</f>
        <v>230</v>
      </c>
      <c r="F421" s="217">
        <f t="shared" si="16"/>
        <v>84.87</v>
      </c>
      <c r="H421" s="315"/>
      <c r="I421" s="114"/>
    </row>
    <row r="422" spans="1:9" x14ac:dyDescent="0.25">
      <c r="A422" s="439" t="str">
        <f>'патриотика0,369'!A451</f>
        <v>кисть акор 35*10</v>
      </c>
      <c r="B422" s="218" t="s">
        <v>82</v>
      </c>
      <c r="C422" s="452"/>
      <c r="D422" s="447">
        <f>'патриотика0,369'!D451</f>
        <v>1.476</v>
      </c>
      <c r="E422" s="447">
        <f>'патриотика0,369'!E451</f>
        <v>40</v>
      </c>
      <c r="F422" s="217">
        <f t="shared" si="16"/>
        <v>59.04</v>
      </c>
      <c r="H422" s="315"/>
      <c r="I422" s="114"/>
    </row>
    <row r="423" spans="1:9" x14ac:dyDescent="0.25">
      <c r="A423" s="439" t="str">
        <f>'патриотика0,369'!A452</f>
        <v>растворитель</v>
      </c>
      <c r="B423" s="218" t="s">
        <v>82</v>
      </c>
      <c r="C423" s="452"/>
      <c r="D423" s="447">
        <f>'патриотика0,369'!D452</f>
        <v>0.73799999999999999</v>
      </c>
      <c r="E423" s="447">
        <f>'патриотика0,369'!E452</f>
        <v>184</v>
      </c>
      <c r="F423" s="217">
        <f t="shared" si="16"/>
        <v>135.792</v>
      </c>
      <c r="H423" s="315"/>
      <c r="I423" s="114"/>
    </row>
    <row r="424" spans="1:9" x14ac:dyDescent="0.25">
      <c r="A424" s="439" t="str">
        <f>'патриотика0,369'!A453</f>
        <v>эмаль пф-115</v>
      </c>
      <c r="B424" s="218" t="s">
        <v>82</v>
      </c>
      <c r="C424" s="452"/>
      <c r="D424" s="447">
        <f>'патриотика0,369'!D453</f>
        <v>0.36899999999999999</v>
      </c>
      <c r="E424" s="447">
        <f>'патриотика0,369'!E453</f>
        <v>455</v>
      </c>
      <c r="F424" s="217">
        <f t="shared" si="16"/>
        <v>167.89500000000001</v>
      </c>
      <c r="H424" s="315"/>
      <c r="I424" s="114"/>
    </row>
    <row r="425" spans="1:9" x14ac:dyDescent="0.25">
      <c r="A425" s="439" t="str">
        <f>'патриотика0,369'!A454</f>
        <v>клей космофен</v>
      </c>
      <c r="B425" s="218" t="s">
        <v>82</v>
      </c>
      <c r="C425" s="452"/>
      <c r="D425" s="447">
        <f>'патриотика0,369'!D454</f>
        <v>0.36899999999999999</v>
      </c>
      <c r="E425" s="447">
        <f>'патриотика0,369'!E454</f>
        <v>180</v>
      </c>
      <c r="F425" s="217">
        <f t="shared" si="16"/>
        <v>66.42</v>
      </c>
      <c r="H425" s="315"/>
      <c r="I425" s="114"/>
    </row>
    <row r="426" spans="1:9" x14ac:dyDescent="0.25">
      <c r="A426" s="439" t="str">
        <f>'патриотика0,369'!A455</f>
        <v>щетка чашечная 0,3*60</v>
      </c>
      <c r="B426" s="218" t="s">
        <v>82</v>
      </c>
      <c r="C426" s="452"/>
      <c r="D426" s="447">
        <f>'патриотика0,369'!D455</f>
        <v>1.107</v>
      </c>
      <c r="E426" s="447">
        <f>'патриотика0,369'!E455</f>
        <v>259</v>
      </c>
      <c r="F426" s="217">
        <f t="shared" si="16"/>
        <v>286.71300000000002</v>
      </c>
      <c r="H426" s="315"/>
      <c r="I426" s="114"/>
    </row>
    <row r="427" spans="1:9" x14ac:dyDescent="0.25">
      <c r="A427" s="439" t="str">
        <f>'патриотика0,369'!A456</f>
        <v>щетка чашечная 0,3*75</v>
      </c>
      <c r="B427" s="218" t="s">
        <v>82</v>
      </c>
      <c r="C427" s="452"/>
      <c r="D427" s="447">
        <f>'патриотика0,369'!D456</f>
        <v>0.73799999999999999</v>
      </c>
      <c r="E427" s="447">
        <f>'патриотика0,369'!E456</f>
        <v>288</v>
      </c>
      <c r="F427" s="217">
        <f t="shared" si="16"/>
        <v>212.54399999999998</v>
      </c>
      <c r="H427" s="315"/>
      <c r="I427" s="114"/>
    </row>
    <row r="428" spans="1:9" x14ac:dyDescent="0.25">
      <c r="A428" s="439" t="str">
        <f>'патриотика0,369'!A457</f>
        <v>угол внутренний, наружный</v>
      </c>
      <c r="B428" s="218" t="s">
        <v>82</v>
      </c>
      <c r="C428" s="452"/>
      <c r="D428" s="447">
        <f>'патриотика0,369'!D457</f>
        <v>7.38</v>
      </c>
      <c r="E428" s="447">
        <f>'патриотика0,369'!E457</f>
        <v>14.4</v>
      </c>
      <c r="F428" s="217">
        <f t="shared" si="16"/>
        <v>106.27200000000001</v>
      </c>
      <c r="H428" s="315"/>
      <c r="I428" s="114"/>
    </row>
    <row r="429" spans="1:9" x14ac:dyDescent="0.25">
      <c r="A429" s="439" t="str">
        <f>'патриотика0,369'!A458</f>
        <v>биты 10 шт</v>
      </c>
      <c r="B429" s="218" t="s">
        <v>82</v>
      </c>
      <c r="C429" s="452"/>
      <c r="D429" s="447">
        <f>'патриотика0,369'!D458</f>
        <v>3.69</v>
      </c>
      <c r="E429" s="447">
        <f>'патриотика0,369'!E458</f>
        <v>18</v>
      </c>
      <c r="F429" s="217">
        <f t="shared" si="16"/>
        <v>66.42</v>
      </c>
      <c r="H429" s="315"/>
      <c r="I429" s="114"/>
    </row>
    <row r="430" spans="1:9" x14ac:dyDescent="0.25">
      <c r="A430" s="439" t="str">
        <f>'патриотика0,369'!A459</f>
        <v>болт шестигранный</v>
      </c>
      <c r="B430" s="218" t="s">
        <v>82</v>
      </c>
      <c r="C430" s="452"/>
      <c r="D430" s="447">
        <f>'патриотика0,369'!D459</f>
        <v>33.579000000000001</v>
      </c>
      <c r="E430" s="447">
        <f>'патриотика0,369'!E459</f>
        <v>10</v>
      </c>
      <c r="F430" s="217">
        <f t="shared" si="16"/>
        <v>335.79</v>
      </c>
      <c r="H430" s="315"/>
      <c r="I430" s="114"/>
    </row>
    <row r="431" spans="1:9" x14ac:dyDescent="0.25">
      <c r="A431" s="439" t="str">
        <f>'патриотика0,369'!A460</f>
        <v>гайка шестигранная</v>
      </c>
      <c r="B431" s="218" t="s">
        <v>82</v>
      </c>
      <c r="C431" s="452"/>
      <c r="D431" s="447">
        <f>'патриотика0,369'!D460</f>
        <v>33.579000000000001</v>
      </c>
      <c r="E431" s="447">
        <f>'патриотика0,369'!E460</f>
        <v>2.5</v>
      </c>
      <c r="F431" s="217">
        <f t="shared" si="16"/>
        <v>83.947500000000005</v>
      </c>
      <c r="H431" s="315"/>
      <c r="I431" s="114"/>
    </row>
    <row r="432" spans="1:9" x14ac:dyDescent="0.25">
      <c r="A432" s="439" t="str">
        <f>'патриотика0,369'!A461</f>
        <v>шайба плоская</v>
      </c>
      <c r="B432" s="218" t="s">
        <v>82</v>
      </c>
      <c r="C432" s="452"/>
      <c r="D432" s="447">
        <f>'патриотика0,369'!D461</f>
        <v>66.42</v>
      </c>
      <c r="E432" s="447">
        <f>'патриотика0,369'!E461</f>
        <v>2.5</v>
      </c>
      <c r="F432" s="217">
        <f t="shared" si="16"/>
        <v>166.05</v>
      </c>
      <c r="H432" s="315"/>
      <c r="I432" s="114"/>
    </row>
    <row r="433" spans="1:9" x14ac:dyDescent="0.25">
      <c r="A433" s="439" t="str">
        <f>'патриотика0,369'!A462</f>
        <v>сверло по металлу</v>
      </c>
      <c r="B433" s="218" t="s">
        <v>82</v>
      </c>
      <c r="C433" s="452"/>
      <c r="D433" s="447">
        <f>'патриотика0,369'!D462</f>
        <v>0.36899999999999999</v>
      </c>
      <c r="E433" s="447">
        <f>'патриотика0,369'!E462</f>
        <v>320</v>
      </c>
      <c r="F433" s="217">
        <f t="shared" si="16"/>
        <v>118.08</v>
      </c>
      <c r="H433" s="315"/>
      <c r="I433" s="114"/>
    </row>
    <row r="434" spans="1:9" x14ac:dyDescent="0.25">
      <c r="A434" s="439" t="str">
        <f>'патриотика0,369'!A463</f>
        <v>винт головка полусфера 5*50</v>
      </c>
      <c r="B434" s="218" t="s">
        <v>82</v>
      </c>
      <c r="C434" s="452"/>
      <c r="D434" s="447">
        <f>'патриотика0,369'!D463</f>
        <v>64.206000000000003</v>
      </c>
      <c r="E434" s="447">
        <f>'патриотика0,369'!E463</f>
        <v>3</v>
      </c>
      <c r="F434" s="217">
        <f t="shared" ref="F434:F481" si="17">D434*E434</f>
        <v>192.61799999999999</v>
      </c>
      <c r="H434" s="315"/>
      <c r="I434" s="114"/>
    </row>
    <row r="435" spans="1:9" x14ac:dyDescent="0.25">
      <c r="A435" s="439" t="str">
        <f>'патриотика0,369'!A464</f>
        <v>винт головка полусфера 5*40</v>
      </c>
      <c r="B435" s="218" t="s">
        <v>82</v>
      </c>
      <c r="C435" s="452"/>
      <c r="D435" s="447">
        <f>'патриотика0,369'!D464</f>
        <v>25.460999999999999</v>
      </c>
      <c r="E435" s="447">
        <f>'патриотика0,369'!E464</f>
        <v>2.5</v>
      </c>
      <c r="F435" s="217">
        <f t="shared" si="17"/>
        <v>63.652499999999996</v>
      </c>
      <c r="H435" s="315"/>
      <c r="I435" s="114"/>
    </row>
    <row r="436" spans="1:9" x14ac:dyDescent="0.25">
      <c r="A436" s="439" t="str">
        <f>'патриотика0,369'!A465</f>
        <v>винт головка полусфера 5*40</v>
      </c>
      <c r="B436" s="218" t="s">
        <v>82</v>
      </c>
      <c r="C436" s="452"/>
      <c r="D436" s="447">
        <f>'патриотика0,369'!D465</f>
        <v>26.198999999999998</v>
      </c>
      <c r="E436" s="447">
        <f>'патриотика0,369'!E465</f>
        <v>2</v>
      </c>
      <c r="F436" s="217">
        <f t="shared" si="17"/>
        <v>52.397999999999996</v>
      </c>
      <c r="H436" s="315"/>
      <c r="I436" s="114"/>
    </row>
    <row r="437" spans="1:9" x14ac:dyDescent="0.25">
      <c r="A437" s="439" t="str">
        <f>'патриотика0,369'!A466</f>
        <v>сверло по металллу</v>
      </c>
      <c r="B437" s="218" t="s">
        <v>82</v>
      </c>
      <c r="C437" s="452"/>
      <c r="D437" s="447">
        <f>'патриотика0,369'!D466</f>
        <v>1.476</v>
      </c>
      <c r="E437" s="447">
        <f>'патриотика0,369'!E466</f>
        <v>306</v>
      </c>
      <c r="F437" s="217">
        <f t="shared" si="17"/>
        <v>451.65600000000001</v>
      </c>
      <c r="H437" s="315"/>
      <c r="I437" s="114"/>
    </row>
    <row r="438" spans="1:9" x14ac:dyDescent="0.25">
      <c r="A438" s="439" t="str">
        <f>'патриотика0,369'!A467</f>
        <v>сверло по металллу 5*86</v>
      </c>
      <c r="B438" s="218" t="s">
        <v>82</v>
      </c>
      <c r="C438" s="452"/>
      <c r="D438" s="447">
        <f>'патриотика0,369'!D467</f>
        <v>1.476</v>
      </c>
      <c r="E438" s="447">
        <f>'патриотика0,369'!E467</f>
        <v>235</v>
      </c>
      <c r="F438" s="217">
        <f t="shared" si="17"/>
        <v>346.86</v>
      </c>
      <c r="H438" s="315"/>
      <c r="I438" s="114"/>
    </row>
    <row r="439" spans="1:9" x14ac:dyDescent="0.25">
      <c r="A439" s="439" t="str">
        <f>'патриотика0,369'!A468</f>
        <v>петля накладная цинк</v>
      </c>
      <c r="B439" s="218" t="s">
        <v>82</v>
      </c>
      <c r="C439" s="452"/>
      <c r="D439" s="447">
        <f>'патриотика0,369'!D468</f>
        <v>0.73799999999999999</v>
      </c>
      <c r="E439" s="447">
        <f>'патриотика0,369'!E468</f>
        <v>26</v>
      </c>
      <c r="F439" s="217">
        <f t="shared" si="17"/>
        <v>19.187999999999999</v>
      </c>
      <c r="H439" s="315"/>
      <c r="I439" s="114"/>
    </row>
    <row r="440" spans="1:9" x14ac:dyDescent="0.25">
      <c r="A440" s="439" t="str">
        <f>'патриотика0,369'!A469</f>
        <v>гайка со стоп кольцом</v>
      </c>
      <c r="B440" s="218" t="s">
        <v>82</v>
      </c>
      <c r="C440" s="452"/>
      <c r="D440" s="447">
        <f>'патриотика0,369'!D469</f>
        <v>115.866</v>
      </c>
      <c r="E440" s="447">
        <f>'патриотика0,369'!E469</f>
        <v>1</v>
      </c>
      <c r="F440" s="217">
        <f t="shared" si="17"/>
        <v>115.866</v>
      </c>
      <c r="H440" s="315"/>
      <c r="I440" s="114"/>
    </row>
    <row r="441" spans="1:9" x14ac:dyDescent="0.25">
      <c r="A441" s="439" t="str">
        <f>'патриотика0,369'!A470</f>
        <v>шайба плоская</v>
      </c>
      <c r="B441" s="218" t="s">
        <v>82</v>
      </c>
      <c r="C441" s="452"/>
      <c r="D441" s="447">
        <f>'патриотика0,369'!D470</f>
        <v>231.732</v>
      </c>
      <c r="E441" s="447">
        <f>'патриотика0,369'!E470</f>
        <v>1</v>
      </c>
      <c r="F441" s="217">
        <f t="shared" si="17"/>
        <v>231.732</v>
      </c>
      <c r="H441" s="315"/>
      <c r="I441" s="114"/>
    </row>
    <row r="442" spans="1:9" x14ac:dyDescent="0.25">
      <c r="A442" s="439" t="str">
        <f>'патриотика0,369'!A471</f>
        <v>сердцевина в замок</v>
      </c>
      <c r="B442" s="218" t="s">
        <v>82</v>
      </c>
      <c r="C442" s="452"/>
      <c r="D442" s="447">
        <f>'патриотика0,369'!D471</f>
        <v>0.73799999999999999</v>
      </c>
      <c r="E442" s="447">
        <f>'патриотика0,369'!E471</f>
        <v>224</v>
      </c>
      <c r="F442" s="217">
        <f t="shared" si="17"/>
        <v>165.31200000000001</v>
      </c>
      <c r="H442" s="315"/>
      <c r="I442" s="114"/>
    </row>
    <row r="443" spans="1:9" x14ac:dyDescent="0.25">
      <c r="A443" s="439" t="str">
        <f>'патриотика0,369'!A472</f>
        <v>ограничитель напольный</v>
      </c>
      <c r="B443" s="218" t="s">
        <v>82</v>
      </c>
      <c r="C443" s="452"/>
      <c r="D443" s="447">
        <f>'патриотика0,369'!D472</f>
        <v>1.107</v>
      </c>
      <c r="E443" s="447">
        <f>'патриотика0,369'!E472</f>
        <v>51</v>
      </c>
      <c r="F443" s="217">
        <f t="shared" si="17"/>
        <v>56.457000000000001</v>
      </c>
      <c r="H443" s="315"/>
      <c r="I443" s="114"/>
    </row>
    <row r="444" spans="1:9" x14ac:dyDescent="0.25">
      <c r="A444" s="439" t="str">
        <f>'патриотика0,369'!A473</f>
        <v>обивка для двери эконом</v>
      </c>
      <c r="B444" s="218" t="s">
        <v>82</v>
      </c>
      <c r="C444" s="452"/>
      <c r="D444" s="447">
        <f>'патриотика0,369'!D473</f>
        <v>0.36899999999999999</v>
      </c>
      <c r="E444" s="447">
        <f>'патриотика0,369'!E473</f>
        <v>561</v>
      </c>
      <c r="F444" s="217">
        <f t="shared" si="17"/>
        <v>207.00899999999999</v>
      </c>
      <c r="H444" s="315"/>
      <c r="I444" s="114"/>
    </row>
    <row r="445" spans="1:9" x14ac:dyDescent="0.25">
      <c r="A445" s="439" t="str">
        <f>'патриотика0,369'!A474</f>
        <v>щетка чашечная 0,3*60</v>
      </c>
      <c r="B445" s="218" t="s">
        <v>82</v>
      </c>
      <c r="C445" s="452"/>
      <c r="D445" s="447">
        <f>'патриотика0,369'!D474</f>
        <v>1.476</v>
      </c>
      <c r="E445" s="447">
        <f>'патриотика0,369'!E474</f>
        <v>259</v>
      </c>
      <c r="F445" s="217">
        <f t="shared" si="17"/>
        <v>382.28399999999999</v>
      </c>
      <c r="H445" s="315"/>
      <c r="I445" s="114"/>
    </row>
    <row r="446" spans="1:9" x14ac:dyDescent="0.25">
      <c r="A446" s="439" t="str">
        <f>'патриотика0,369'!A475</f>
        <v>саморез с прессшайбой</v>
      </c>
      <c r="B446" s="218" t="s">
        <v>82</v>
      </c>
      <c r="C446" s="452"/>
      <c r="D446" s="447">
        <f>'патриотика0,369'!D475</f>
        <v>11.07</v>
      </c>
      <c r="E446" s="447">
        <f>'патриотика0,369'!E475</f>
        <v>1</v>
      </c>
      <c r="F446" s="217">
        <f t="shared" si="17"/>
        <v>11.07</v>
      </c>
      <c r="H446" s="315"/>
      <c r="I446" s="114"/>
    </row>
    <row r="447" spans="1:9" x14ac:dyDescent="0.25">
      <c r="A447" s="439" t="str">
        <f>'патриотика0,369'!A476</f>
        <v>звонок беспроводной</v>
      </c>
      <c r="B447" s="218" t="s">
        <v>82</v>
      </c>
      <c r="C447" s="452"/>
      <c r="D447" s="447">
        <f>'патриотика0,369'!D476</f>
        <v>0.36899999999999999</v>
      </c>
      <c r="E447" s="447">
        <f>'патриотика0,369'!E476</f>
        <v>1111</v>
      </c>
      <c r="F447" s="217">
        <f t="shared" si="17"/>
        <v>409.959</v>
      </c>
      <c r="H447" s="315"/>
      <c r="I447" s="114"/>
    </row>
    <row r="448" spans="1:9" x14ac:dyDescent="0.25">
      <c r="A448" s="439" t="str">
        <f>'патриотика0,369'!A477</f>
        <v>кисть акор 75*12</v>
      </c>
      <c r="B448" s="218" t="s">
        <v>82</v>
      </c>
      <c r="C448" s="452"/>
      <c r="D448" s="447">
        <f>'патриотика0,369'!D477</f>
        <v>0.36899999999999999</v>
      </c>
      <c r="E448" s="447">
        <f>'патриотика0,369'!E477</f>
        <v>63</v>
      </c>
      <c r="F448" s="217">
        <f t="shared" si="17"/>
        <v>23.247</v>
      </c>
      <c r="H448" s="315"/>
      <c r="I448" s="114"/>
    </row>
    <row r="449" spans="1:9" x14ac:dyDescent="0.25">
      <c r="A449" s="439" t="str">
        <f>'патриотика0,369'!A478</f>
        <v>кисть акор 50*10</v>
      </c>
      <c r="B449" s="218" t="s">
        <v>82</v>
      </c>
      <c r="C449" s="452"/>
      <c r="D449" s="447">
        <f>'патриотика0,369'!D478</f>
        <v>0.36899999999999999</v>
      </c>
      <c r="E449" s="447">
        <f>'патриотика0,369'!E478</f>
        <v>39</v>
      </c>
      <c r="F449" s="217">
        <f t="shared" si="17"/>
        <v>14.391</v>
      </c>
      <c r="H449" s="315"/>
      <c r="I449" s="114"/>
    </row>
    <row r="450" spans="1:9" x14ac:dyDescent="0.25">
      <c r="A450" s="439" t="str">
        <f>'патриотика0,369'!A479</f>
        <v>клей момент-монтаж</v>
      </c>
      <c r="B450" s="218" t="s">
        <v>82</v>
      </c>
      <c r="C450" s="452"/>
      <c r="D450" s="447">
        <f>'патриотика0,369'!D479</f>
        <v>6.2729999999999997</v>
      </c>
      <c r="E450" s="447">
        <f>'патриотика0,369'!E479</f>
        <v>395</v>
      </c>
      <c r="F450" s="217">
        <f t="shared" si="17"/>
        <v>2477.835</v>
      </c>
      <c r="H450" s="315"/>
      <c r="I450" s="114"/>
    </row>
    <row r="451" spans="1:9" x14ac:dyDescent="0.25">
      <c r="A451" s="439" t="str">
        <f>'патриотика0,369'!A480</f>
        <v>эмаль-аэрозоль</v>
      </c>
      <c r="B451" s="218" t="s">
        <v>82</v>
      </c>
      <c r="C451" s="452"/>
      <c r="D451" s="447">
        <f>'патриотика0,369'!D480</f>
        <v>2.5830000000000002</v>
      </c>
      <c r="E451" s="447">
        <f>'патриотика0,369'!E480</f>
        <v>215</v>
      </c>
      <c r="F451" s="217">
        <f t="shared" si="17"/>
        <v>555.34500000000003</v>
      </c>
      <c r="H451" s="315"/>
      <c r="I451" s="114"/>
    </row>
    <row r="452" spans="1:9" x14ac:dyDescent="0.25">
      <c r="A452" s="439" t="str">
        <f>'патриотика0,369'!A481</f>
        <v>аквалазурь</v>
      </c>
      <c r="B452" s="218" t="s">
        <v>82</v>
      </c>
      <c r="C452" s="452"/>
      <c r="D452" s="447">
        <f>'патриотика0,369'!D481</f>
        <v>0.36899999999999999</v>
      </c>
      <c r="E452" s="447">
        <f>'патриотика0,369'!E481</f>
        <v>450</v>
      </c>
      <c r="F452" s="217">
        <f t="shared" si="17"/>
        <v>166.05</v>
      </c>
      <c r="H452" s="315"/>
      <c r="I452" s="114"/>
    </row>
    <row r="453" spans="1:9" x14ac:dyDescent="0.25">
      <c r="A453" s="439" t="str">
        <f>'патриотика0,369'!A482</f>
        <v>кисть акор 50*14</v>
      </c>
      <c r="B453" s="218" t="s">
        <v>82</v>
      </c>
      <c r="C453" s="452"/>
      <c r="D453" s="447">
        <f>'патриотика0,369'!D482</f>
        <v>0.36899999999999999</v>
      </c>
      <c r="E453" s="447">
        <f>'патриотика0,369'!E482</f>
        <v>68</v>
      </c>
      <c r="F453" s="217">
        <f t="shared" si="17"/>
        <v>25.091999999999999</v>
      </c>
      <c r="H453" s="315"/>
      <c r="I453" s="114"/>
    </row>
    <row r="454" spans="1:9" x14ac:dyDescent="0.25">
      <c r="A454" s="439" t="str">
        <f>'патриотика0,369'!A483</f>
        <v>кисть акор 25*10</v>
      </c>
      <c r="B454" s="218" t="s">
        <v>82</v>
      </c>
      <c r="C454" s="452"/>
      <c r="D454" s="447">
        <f>'патриотика0,369'!D483</f>
        <v>0.36899999999999999</v>
      </c>
      <c r="E454" s="447">
        <f>'патриотика0,369'!E483</f>
        <v>40</v>
      </c>
      <c r="F454" s="217">
        <f t="shared" si="17"/>
        <v>14.76</v>
      </c>
      <c r="H454" s="315"/>
      <c r="I454" s="114"/>
    </row>
    <row r="455" spans="1:9" x14ac:dyDescent="0.25">
      <c r="A455" s="439" t="str">
        <f>'патриотика0,369'!A484</f>
        <v>шуруп кольцо</v>
      </c>
      <c r="B455" s="218" t="s">
        <v>82</v>
      </c>
      <c r="C455" s="452"/>
      <c r="D455" s="447">
        <f>'патриотика0,369'!D484</f>
        <v>0.73799999999999999</v>
      </c>
      <c r="E455" s="447">
        <f>'патриотика0,369'!E484</f>
        <v>47</v>
      </c>
      <c r="F455" s="217">
        <f t="shared" si="17"/>
        <v>34.686</v>
      </c>
      <c r="H455" s="315"/>
      <c r="I455" s="114"/>
    </row>
    <row r="456" spans="1:9" x14ac:dyDescent="0.25">
      <c r="A456" s="439" t="str">
        <f>'патриотика0,369'!A485</f>
        <v>болт шестигранник</v>
      </c>
      <c r="B456" s="218" t="s">
        <v>82</v>
      </c>
      <c r="C456" s="452"/>
      <c r="D456" s="447">
        <f>'патриотика0,369'!D485</f>
        <v>3.69</v>
      </c>
      <c r="E456" s="447">
        <f>'патриотика0,369'!E485</f>
        <v>7</v>
      </c>
      <c r="F456" s="217">
        <f t="shared" si="17"/>
        <v>25.83</v>
      </c>
      <c r="H456" s="315"/>
      <c r="I456" s="114"/>
    </row>
    <row r="457" spans="1:9" x14ac:dyDescent="0.25">
      <c r="A457" s="439" t="str">
        <f>'патриотика0,369'!A486</f>
        <v>клей монтажный</v>
      </c>
      <c r="B457" s="218" t="s">
        <v>82</v>
      </c>
      <c r="C457" s="452"/>
      <c r="D457" s="447">
        <f>'патриотика0,369'!D486</f>
        <v>2.214</v>
      </c>
      <c r="E457" s="447">
        <f>'патриотика0,369'!E486</f>
        <v>185</v>
      </c>
      <c r="F457" s="217">
        <f t="shared" si="17"/>
        <v>409.59</v>
      </c>
      <c r="H457" s="315"/>
      <c r="I457" s="114"/>
    </row>
    <row r="458" spans="1:9" x14ac:dyDescent="0.25">
      <c r="A458" s="439" t="str">
        <f>'патриотика0,369'!A487</f>
        <v>лопата снеговая</v>
      </c>
      <c r="B458" s="218" t="s">
        <v>82</v>
      </c>
      <c r="C458" s="452"/>
      <c r="D458" s="447">
        <f>'патриотика0,369'!D487</f>
        <v>0.36899999999999999</v>
      </c>
      <c r="E458" s="447">
        <f>'патриотика0,369'!E487</f>
        <v>250</v>
      </c>
      <c r="F458" s="217">
        <f t="shared" si="17"/>
        <v>92.25</v>
      </c>
      <c r="H458" s="315"/>
      <c r="I458" s="114"/>
    </row>
    <row r="459" spans="1:9" x14ac:dyDescent="0.25">
      <c r="A459" s="439" t="str">
        <f>'патриотика0,369'!A488</f>
        <v>универсальный колер</v>
      </c>
      <c r="B459" s="218" t="s">
        <v>82</v>
      </c>
      <c r="C459" s="452"/>
      <c r="D459" s="447">
        <f>'патриотика0,369'!D488</f>
        <v>1.107</v>
      </c>
      <c r="E459" s="447">
        <f>'патриотика0,369'!E488</f>
        <v>175</v>
      </c>
      <c r="F459" s="217">
        <f t="shared" si="17"/>
        <v>193.72499999999999</v>
      </c>
      <c r="H459" s="315"/>
      <c r="I459" s="114"/>
    </row>
    <row r="460" spans="1:9" x14ac:dyDescent="0.25">
      <c r="A460" s="439" t="str">
        <f>'патриотика0,369'!A489</f>
        <v>паста колеровочная</v>
      </c>
      <c r="B460" s="218" t="s">
        <v>82</v>
      </c>
      <c r="C460" s="452"/>
      <c r="D460" s="447">
        <f>'патриотика0,369'!D489</f>
        <v>0.36899999999999999</v>
      </c>
      <c r="E460" s="447">
        <f>'патриотика0,369'!E489</f>
        <v>56</v>
      </c>
      <c r="F460" s="217">
        <f t="shared" si="17"/>
        <v>20.664000000000001</v>
      </c>
      <c r="H460" s="315"/>
      <c r="I460" s="114"/>
    </row>
    <row r="461" spans="1:9" x14ac:dyDescent="0.25">
      <c r="A461" s="439" t="str">
        <f>'патриотика0,369'!A490</f>
        <v>клей момент-монтаж</v>
      </c>
      <c r="B461" s="218" t="s">
        <v>82</v>
      </c>
      <c r="C461" s="452"/>
      <c r="D461" s="447">
        <f>'патриотика0,369'!D490</f>
        <v>0.73799999999999999</v>
      </c>
      <c r="E461" s="447">
        <f>'патриотика0,369'!E490</f>
        <v>355</v>
      </c>
      <c r="F461" s="217">
        <f t="shared" si="17"/>
        <v>261.99</v>
      </c>
      <c r="H461" s="315"/>
      <c r="I461" s="114"/>
    </row>
    <row r="462" spans="1:9" x14ac:dyDescent="0.25">
      <c r="A462" s="439" t="str">
        <f>'патриотика0,369'!A491</f>
        <v>ГСМ УАЗ (Масло двигатель)</v>
      </c>
      <c r="B462" s="218" t="s">
        <v>82</v>
      </c>
      <c r="C462" s="452"/>
      <c r="D462" s="447">
        <f>'патриотика0,369'!D491</f>
        <v>0</v>
      </c>
      <c r="E462" s="447">
        <f>'патриотика0,369'!E491</f>
        <v>400</v>
      </c>
      <c r="F462" s="217">
        <f t="shared" si="17"/>
        <v>0</v>
      </c>
      <c r="H462" s="315"/>
      <c r="I462" s="114"/>
    </row>
    <row r="463" spans="1:9" x14ac:dyDescent="0.25">
      <c r="A463" s="439" t="str">
        <f>'патриотика0,369'!A492</f>
        <v>Чернила Canon 135 мл черные</v>
      </c>
      <c r="B463" s="218" t="s">
        <v>82</v>
      </c>
      <c r="C463" s="452"/>
      <c r="D463" s="447">
        <f>'патриотика0,369'!D492</f>
        <v>1.107</v>
      </c>
      <c r="E463" s="447">
        <f>'патриотика0,369'!E492</f>
        <v>1100</v>
      </c>
      <c r="F463" s="217">
        <f t="shared" si="17"/>
        <v>1217.7</v>
      </c>
      <c r="H463" s="315"/>
      <c r="I463" s="114"/>
    </row>
    <row r="464" spans="1:9" x14ac:dyDescent="0.25">
      <c r="A464" s="439" t="str">
        <f>'патриотика0,369'!A493</f>
        <v>Чернила Canon 70 мл голубые</v>
      </c>
      <c r="B464" s="218" t="s">
        <v>82</v>
      </c>
      <c r="C464" s="452"/>
      <c r="D464" s="447">
        <f>'патриотика0,369'!D493</f>
        <v>1.107</v>
      </c>
      <c r="E464" s="447">
        <f>'патриотика0,369'!E493</f>
        <v>1100</v>
      </c>
      <c r="F464" s="217">
        <f t="shared" si="17"/>
        <v>1217.7</v>
      </c>
      <c r="H464" s="315"/>
      <c r="I464" s="114"/>
    </row>
    <row r="465" spans="1:9" x14ac:dyDescent="0.25">
      <c r="A465" s="439" t="str">
        <f>'патриотика0,369'!A494</f>
        <v>Чернила Canon 70 мл урпур</v>
      </c>
      <c r="B465" s="218" t="s">
        <v>82</v>
      </c>
      <c r="C465" s="452"/>
      <c r="D465" s="447">
        <f>'патриотика0,369'!D494</f>
        <v>1.107</v>
      </c>
      <c r="E465" s="447">
        <f>'патриотика0,369'!E494</f>
        <v>1100</v>
      </c>
      <c r="F465" s="217">
        <f t="shared" si="17"/>
        <v>1217.7</v>
      </c>
      <c r="H465" s="315"/>
      <c r="I465" s="114"/>
    </row>
    <row r="466" spans="1:9" x14ac:dyDescent="0.25">
      <c r="A466" s="439" t="str">
        <f>'патриотика0,369'!A495</f>
        <v>Чернила Canon 70 мл желтые</v>
      </c>
      <c r="B466" s="218" t="s">
        <v>82</v>
      </c>
      <c r="C466" s="452"/>
      <c r="D466" s="447">
        <f>'патриотика0,369'!D495</f>
        <v>1.107</v>
      </c>
      <c r="E466" s="447">
        <f>'патриотика0,369'!E495</f>
        <v>1100</v>
      </c>
      <c r="F466" s="217">
        <f t="shared" si="17"/>
        <v>1217.7</v>
      </c>
      <c r="H466" s="315"/>
      <c r="I466" s="114"/>
    </row>
    <row r="467" spans="1:9" x14ac:dyDescent="0.25">
      <c r="A467" s="439" t="str">
        <f>'патриотика0,369'!A496</f>
        <v>батарейка ААА</v>
      </c>
      <c r="B467" s="218" t="s">
        <v>82</v>
      </c>
      <c r="C467" s="452"/>
      <c r="D467" s="447">
        <f>'патриотика0,369'!D496</f>
        <v>36.9</v>
      </c>
      <c r="E467" s="447">
        <f>'патриотика0,369'!E496</f>
        <v>50</v>
      </c>
      <c r="F467" s="217">
        <f t="shared" si="17"/>
        <v>1845</v>
      </c>
      <c r="H467" s="315"/>
      <c r="I467" s="114"/>
    </row>
    <row r="468" spans="1:9" x14ac:dyDescent="0.25">
      <c r="A468" s="439" t="str">
        <f>'патриотика0,369'!A497</f>
        <v>батарейка АА</v>
      </c>
      <c r="B468" s="218" t="s">
        <v>82</v>
      </c>
      <c r="C468" s="452"/>
      <c r="D468" s="447">
        <f>'патриотика0,369'!D497</f>
        <v>36.9</v>
      </c>
      <c r="E468" s="447">
        <f>'патриотика0,369'!E497</f>
        <v>60</v>
      </c>
      <c r="F468" s="217">
        <f t="shared" si="17"/>
        <v>2214</v>
      </c>
      <c r="H468" s="315"/>
      <c r="I468" s="114"/>
    </row>
    <row r="469" spans="1:9" x14ac:dyDescent="0.25">
      <c r="A469" s="439" t="str">
        <f>'патриотика0,369'!A498</f>
        <v>ГСМ Бензин</v>
      </c>
      <c r="B469" s="218" t="s">
        <v>82</v>
      </c>
      <c r="C469" s="452"/>
      <c r="D469" s="447">
        <f>'патриотика0,369'!D498</f>
        <v>738</v>
      </c>
      <c r="E469" s="447">
        <f>'патриотика0,369'!E498</f>
        <v>49.33</v>
      </c>
      <c r="F469" s="217">
        <f t="shared" si="17"/>
        <v>36405.54</v>
      </c>
      <c r="H469" s="315"/>
      <c r="I469" s="114"/>
    </row>
    <row r="470" spans="1:9" x14ac:dyDescent="0.25">
      <c r="A470" s="439" t="str">
        <f>'патриотика0,369'!A499</f>
        <v>ГСМ Бензин</v>
      </c>
      <c r="B470" s="218" t="s">
        <v>82</v>
      </c>
      <c r="C470" s="452"/>
      <c r="D470" s="447">
        <f>'патриотика0,369'!D499</f>
        <v>36.9</v>
      </c>
      <c r="E470" s="447">
        <f>'патриотика0,369'!E499</f>
        <v>43.436</v>
      </c>
      <c r="F470" s="217">
        <f t="shared" si="17"/>
        <v>1602.7883999999999</v>
      </c>
      <c r="H470" s="315"/>
      <c r="I470" s="114"/>
    </row>
    <row r="471" spans="1:9" x14ac:dyDescent="0.25">
      <c r="A471" s="439" t="str">
        <f>'патриотика0,369'!A500</f>
        <v>Профиль металлический</v>
      </c>
      <c r="B471" s="218" t="s">
        <v>82</v>
      </c>
      <c r="C471" s="452"/>
      <c r="D471" s="447">
        <f>'патриотика0,369'!D500</f>
        <v>1.845</v>
      </c>
      <c r="E471" s="447">
        <f>'патриотика0,369'!E500</f>
        <v>2200</v>
      </c>
      <c r="F471" s="217">
        <f t="shared" si="17"/>
        <v>4059</v>
      </c>
      <c r="H471" s="315"/>
      <c r="I471" s="114"/>
    </row>
    <row r="472" spans="1:9" x14ac:dyDescent="0.25">
      <c r="A472" s="439" t="str">
        <f>'патриотика0,369'!A501</f>
        <v>Цемент</v>
      </c>
      <c r="B472" s="218" t="s">
        <v>82</v>
      </c>
      <c r="C472" s="452"/>
      <c r="D472" s="447">
        <f>'патриотика0,369'!D501</f>
        <v>0.73799999999999999</v>
      </c>
      <c r="E472" s="447">
        <f>'патриотика0,369'!E501</f>
        <v>900</v>
      </c>
      <c r="F472" s="217">
        <f t="shared" si="17"/>
        <v>664.2</v>
      </c>
      <c r="H472" s="315"/>
      <c r="I472" s="114"/>
    </row>
    <row r="473" spans="1:9" x14ac:dyDescent="0.25">
      <c r="A473" s="439" t="str">
        <f>'патриотика0,369'!A502</f>
        <v>Саморезы</v>
      </c>
      <c r="B473" s="218" t="s">
        <v>82</v>
      </c>
      <c r="C473" s="452"/>
      <c r="D473" s="447">
        <f>'патриотика0,369'!D502</f>
        <v>0.36899999999999999</v>
      </c>
      <c r="E473" s="447">
        <f>'патриотика0,369'!E502</f>
        <v>2000</v>
      </c>
      <c r="F473" s="217">
        <f t="shared" si="17"/>
        <v>738</v>
      </c>
      <c r="H473" s="315"/>
      <c r="I473" s="114"/>
    </row>
    <row r="474" spans="1:9" x14ac:dyDescent="0.25">
      <c r="A474" s="439" t="str">
        <f>'патриотика0,369'!A503</f>
        <v>Фанера 10 мм</v>
      </c>
      <c r="B474" s="218" t="s">
        <v>82</v>
      </c>
      <c r="C474" s="452"/>
      <c r="D474" s="447">
        <f>'патриотика0,369'!D503</f>
        <v>2.214</v>
      </c>
      <c r="E474" s="447">
        <f>'патриотика0,369'!E503</f>
        <v>1450</v>
      </c>
      <c r="F474" s="217">
        <f t="shared" si="17"/>
        <v>3210.2999999999997</v>
      </c>
      <c r="H474" s="315"/>
      <c r="I474" s="114"/>
    </row>
    <row r="475" spans="1:9" x14ac:dyDescent="0.25">
      <c r="A475" s="439" t="str">
        <f>'патриотика0,369'!A504</f>
        <v>Перчатки, мешки</v>
      </c>
      <c r="B475" s="218" t="s">
        <v>82</v>
      </c>
      <c r="C475" s="452"/>
      <c r="D475" s="447">
        <f>'патриотика0,369'!D504</f>
        <v>0.36899999999999999</v>
      </c>
      <c r="E475" s="447">
        <f>'патриотика0,369'!E504</f>
        <v>1900</v>
      </c>
      <c r="F475" s="217">
        <f t="shared" si="17"/>
        <v>701.1</v>
      </c>
      <c r="H475" s="315"/>
      <c r="I475" s="114"/>
    </row>
    <row r="476" spans="1:9" x14ac:dyDescent="0.25">
      <c r="A476" s="439" t="str">
        <f>'патриотика0,369'!A505</f>
        <v>Краска акриловая 10 л</v>
      </c>
      <c r="B476" s="218" t="s">
        <v>82</v>
      </c>
      <c r="C476" s="452"/>
      <c r="D476" s="447">
        <f>'патриотика0,369'!D505</f>
        <v>0.73799999999999999</v>
      </c>
      <c r="E476" s="447">
        <f>'патриотика0,369'!E505</f>
        <v>1500</v>
      </c>
      <c r="F476" s="217">
        <f t="shared" si="17"/>
        <v>1107</v>
      </c>
      <c r="H476" s="315"/>
      <c r="I476" s="114"/>
    </row>
    <row r="477" spans="1:9" x14ac:dyDescent="0.25">
      <c r="A477" s="439" t="str">
        <f>'патриотика0,369'!A506</f>
        <v>Колер для акриловой краски в ассортименте</v>
      </c>
      <c r="B477" s="218" t="s">
        <v>82</v>
      </c>
      <c r="C477" s="452"/>
      <c r="D477" s="447">
        <f>'патриотика0,369'!D506</f>
        <v>3.69</v>
      </c>
      <c r="E477" s="447">
        <f>'патриотика0,369'!E506</f>
        <v>100</v>
      </c>
      <c r="F477" s="217">
        <f t="shared" si="17"/>
        <v>369</v>
      </c>
      <c r="H477" s="315"/>
      <c r="I477" s="114"/>
    </row>
    <row r="478" spans="1:9" x14ac:dyDescent="0.25">
      <c r="A478" s="439" t="str">
        <f>'патриотика0,369'!A507</f>
        <v>Сверла, лезвия для лобзика</v>
      </c>
      <c r="B478" s="218" t="s">
        <v>82</v>
      </c>
      <c r="C478" s="452"/>
      <c r="D478" s="447">
        <f>'патриотика0,369'!D507</f>
        <v>0.36899999999999999</v>
      </c>
      <c r="E478" s="447">
        <f>'патриотика0,369'!E507</f>
        <v>2000</v>
      </c>
      <c r="F478" s="217">
        <f t="shared" si="17"/>
        <v>738</v>
      </c>
      <c r="H478" s="315"/>
      <c r="I478" s="114"/>
    </row>
    <row r="479" spans="1:9" x14ac:dyDescent="0.25">
      <c r="A479" s="439" t="str">
        <f>'патриотика0,369'!A508</f>
        <v>Кабель бабина витая пара UTP, 4 пары Cat.5e outdoor (305 м)</v>
      </c>
      <c r="B479" s="218" t="s">
        <v>82</v>
      </c>
      <c r="C479" s="452"/>
      <c r="D479" s="447">
        <f>'патриотика0,369'!D508</f>
        <v>0.73799999999999999</v>
      </c>
      <c r="E479" s="447">
        <f>'патриотика0,369'!E508</f>
        <v>8400</v>
      </c>
      <c r="F479" s="217">
        <f t="shared" si="17"/>
        <v>6199.2</v>
      </c>
      <c r="H479" s="315"/>
      <c r="I479" s="114"/>
    </row>
    <row r="480" spans="1:9" x14ac:dyDescent="0.25">
      <c r="A480" s="439" t="str">
        <f>'патриотика0,369'!A509</f>
        <v>кабель витая пара</v>
      </c>
      <c r="B480" s="218" t="s">
        <v>82</v>
      </c>
      <c r="C480" s="452"/>
      <c r="D480" s="447">
        <f>'патриотика0,369'!D509</f>
        <v>0.73799999999999999</v>
      </c>
      <c r="E480" s="447">
        <f>'патриотика0,369'!E509</f>
        <v>8400</v>
      </c>
      <c r="F480" s="217">
        <f t="shared" si="17"/>
        <v>6199.2</v>
      </c>
      <c r="H480" s="315"/>
      <c r="I480" s="114"/>
    </row>
    <row r="481" spans="1:9" x14ac:dyDescent="0.25">
      <c r="A481" s="439" t="str">
        <f>'патриотика0,369'!A510</f>
        <v>Коннектор</v>
      </c>
      <c r="B481" s="218" t="s">
        <v>82</v>
      </c>
      <c r="C481" s="452"/>
      <c r="D481" s="447">
        <f>'патриотика0,369'!D510</f>
        <v>0.36899999999999999</v>
      </c>
      <c r="E481" s="447">
        <f>'патриотика0,369'!E510</f>
        <v>754</v>
      </c>
      <c r="F481" s="217">
        <f t="shared" si="17"/>
        <v>278.226</v>
      </c>
      <c r="H481" s="315"/>
      <c r="I481" s="114"/>
    </row>
    <row r="482" spans="1:9" x14ac:dyDescent="0.25">
      <c r="A482" s="439" t="str">
        <f>'патриотика0,369'!A511</f>
        <v xml:space="preserve">средства индивидуальной защиты и дезинфекционные средства </v>
      </c>
      <c r="B482" s="218" t="s">
        <v>82</v>
      </c>
      <c r="C482" s="213"/>
      <c r="D482" s="169">
        <f>'патриотика0,369'!D511</f>
        <v>0.36899999999999999</v>
      </c>
      <c r="E482" s="509">
        <f>'патриотика0,369'!E511</f>
        <v>19000</v>
      </c>
      <c r="F482" s="217">
        <f>'патриотика0,369'!F511</f>
        <v>7389</v>
      </c>
      <c r="H482" s="315"/>
      <c r="I482" s="114"/>
    </row>
    <row r="483" spans="1:9" x14ac:dyDescent="0.25">
      <c r="A483" s="439" t="str">
        <f>'патриотика0,369'!A512</f>
        <v>Гамак</v>
      </c>
      <c r="B483" s="218" t="s">
        <v>82</v>
      </c>
      <c r="C483" s="213"/>
      <c r="D483" s="169">
        <f>'патриотика0,369'!D512</f>
        <v>2.16</v>
      </c>
      <c r="E483" s="509">
        <f>'патриотика0,369'!E512</f>
        <v>7000</v>
      </c>
      <c r="F483" s="217">
        <f>'патриотика0,369'!F512</f>
        <v>15120.000000000002</v>
      </c>
      <c r="H483" s="315"/>
      <c r="I483" s="114"/>
    </row>
    <row r="484" spans="1:9" x14ac:dyDescent="0.25">
      <c r="A484" s="439" t="str">
        <f>'патриотика0,369'!A513</f>
        <v>Будо-Мат EVA «Ласточкин Хвост» м2, толщина 2 см</v>
      </c>
      <c r="B484" s="218" t="s">
        <v>82</v>
      </c>
      <c r="C484" s="213"/>
      <c r="D484" s="169">
        <f>'патриотика0,369'!D513</f>
        <v>14.76</v>
      </c>
      <c r="E484" s="509">
        <f>'патриотика0,369'!E513</f>
        <v>870</v>
      </c>
      <c r="F484" s="217">
        <f>'патриотика0,369'!F513</f>
        <v>12841.199999999999</v>
      </c>
      <c r="H484" s="315"/>
      <c r="I484" s="114"/>
    </row>
    <row r="485" spans="1:9" x14ac:dyDescent="0.25">
      <c r="A485" s="439" t="str">
        <f>'патриотика0,369'!A514</f>
        <v>Карабины металл</v>
      </c>
      <c r="B485" s="218" t="s">
        <v>82</v>
      </c>
      <c r="C485" s="213"/>
      <c r="D485" s="169">
        <f>'патриотика0,369'!D514</f>
        <v>11.808</v>
      </c>
      <c r="E485" s="509">
        <f>'патриотика0,369'!E514</f>
        <v>150</v>
      </c>
      <c r="F485" s="217">
        <f>'патриотика0,369'!F514</f>
        <v>1771.2</v>
      </c>
      <c r="H485" s="315"/>
      <c r="I485" s="114"/>
    </row>
    <row r="486" spans="1:9" x14ac:dyDescent="0.25">
      <c r="A486" s="439" t="str">
        <f>'патриотика0,369'!A515</f>
        <v>Краска ВДК 4 л</v>
      </c>
      <c r="B486" s="218" t="s">
        <v>82</v>
      </c>
      <c r="C486" s="213"/>
      <c r="D486" s="169">
        <f>'патриотика0,369'!D515</f>
        <v>2.214</v>
      </c>
      <c r="E486" s="509">
        <f>'патриотика0,369'!E515</f>
        <v>2000</v>
      </c>
      <c r="F486" s="217">
        <f>'патриотика0,369'!F515</f>
        <v>4428</v>
      </c>
      <c r="H486" s="315"/>
      <c r="I486" s="114"/>
    </row>
    <row r="487" spans="1:9" x14ac:dyDescent="0.25">
      <c r="A487" s="439" t="str">
        <f>'патриотика0,369'!A516</f>
        <v>Коллер для краски ВДК</v>
      </c>
      <c r="B487" s="218" t="s">
        <v>82</v>
      </c>
      <c r="C487" s="213"/>
      <c r="D487" s="169">
        <f>'патриотика0,369'!D516</f>
        <v>3.3209999999999997</v>
      </c>
      <c r="E487" s="509">
        <f>'патриотика0,369'!E516</f>
        <v>100</v>
      </c>
      <c r="F487" s="217">
        <f>'патриотика0,369'!F516</f>
        <v>332.09999999999997</v>
      </c>
      <c r="H487" s="315"/>
      <c r="I487" s="114"/>
    </row>
    <row r="488" spans="1:9" hidden="1" x14ac:dyDescent="0.25">
      <c r="A488" s="290"/>
      <c r="B488" s="218"/>
      <c r="C488" s="213"/>
      <c r="D488" s="292"/>
      <c r="E488" s="325"/>
      <c r="F488" s="217"/>
      <c r="H488" s="315"/>
      <c r="I488" s="114"/>
    </row>
    <row r="489" spans="1:9" hidden="1" x14ac:dyDescent="0.25">
      <c r="A489" s="290"/>
      <c r="B489" s="218"/>
      <c r="C489" s="213"/>
      <c r="D489" s="292"/>
      <c r="E489" s="325"/>
      <c r="F489" s="217"/>
      <c r="H489" s="315"/>
      <c r="I489" s="114"/>
    </row>
    <row r="490" spans="1:9" hidden="1" x14ac:dyDescent="0.25">
      <c r="A490" s="290"/>
      <c r="B490" s="218"/>
      <c r="C490" s="213"/>
      <c r="D490" s="292"/>
      <c r="E490" s="325"/>
      <c r="F490" s="217"/>
      <c r="H490" s="315"/>
      <c r="I490" s="114"/>
    </row>
    <row r="491" spans="1:9" hidden="1" x14ac:dyDescent="0.25">
      <c r="A491" s="290"/>
      <c r="B491" s="218"/>
      <c r="C491" s="213"/>
      <c r="D491" s="292"/>
      <c r="E491" s="325"/>
      <c r="F491" s="217"/>
      <c r="H491" s="315"/>
      <c r="I491" s="114"/>
    </row>
    <row r="492" spans="1:9" hidden="1" x14ac:dyDescent="0.25">
      <c r="A492" s="290"/>
      <c r="B492" s="218"/>
      <c r="C492" s="213"/>
      <c r="D492" s="292"/>
      <c r="E492" s="325"/>
      <c r="F492" s="217"/>
      <c r="H492" s="315"/>
      <c r="I492" s="114"/>
    </row>
    <row r="493" spans="1:9" hidden="1" x14ac:dyDescent="0.25">
      <c r="A493" s="290"/>
      <c r="B493" s="218"/>
      <c r="C493" s="213"/>
      <c r="D493" s="292"/>
      <c r="E493" s="325"/>
      <c r="F493" s="217"/>
      <c r="H493" s="315"/>
      <c r="I493" s="114"/>
    </row>
    <row r="494" spans="1:9" hidden="1" x14ac:dyDescent="0.25">
      <c r="A494" s="311"/>
      <c r="B494" s="280"/>
      <c r="C494" s="213"/>
      <c r="D494" s="293"/>
      <c r="E494" s="325"/>
      <c r="F494" s="281"/>
      <c r="H494" s="315"/>
      <c r="I494" s="114"/>
    </row>
    <row r="495" spans="1:9" hidden="1" x14ac:dyDescent="0.25">
      <c r="A495" s="292"/>
      <c r="B495" s="218"/>
      <c r="C495" s="292"/>
      <c r="D495" s="293"/>
      <c r="E495" s="325"/>
      <c r="F495" s="281"/>
      <c r="H495" s="315"/>
      <c r="I495" s="114"/>
    </row>
    <row r="496" spans="1:9" hidden="1" x14ac:dyDescent="0.25">
      <c r="A496" s="292"/>
      <c r="B496" s="218"/>
      <c r="C496" s="292"/>
      <c r="D496" s="293"/>
      <c r="E496" s="325"/>
      <c r="F496" s="281"/>
      <c r="H496" s="315"/>
      <c r="I496" s="114"/>
    </row>
    <row r="497" spans="1:9" hidden="1" x14ac:dyDescent="0.25">
      <c r="A497" s="292"/>
      <c r="B497" s="218"/>
      <c r="C497" s="292"/>
      <c r="D497" s="293"/>
      <c r="E497" s="325"/>
      <c r="F497" s="281"/>
      <c r="H497" s="315"/>
      <c r="I497" s="114"/>
    </row>
    <row r="498" spans="1:9" hidden="1" x14ac:dyDescent="0.25">
      <c r="A498" s="292"/>
      <c r="B498" s="218"/>
      <c r="C498" s="292"/>
      <c r="D498" s="293"/>
      <c r="E498" s="325"/>
      <c r="F498" s="281"/>
      <c r="H498" s="315"/>
      <c r="I498" s="114"/>
    </row>
    <row r="499" spans="1:9" hidden="1" x14ac:dyDescent="0.25">
      <c r="A499" s="292"/>
      <c r="B499" s="218"/>
      <c r="C499" s="292"/>
      <c r="D499" s="293"/>
      <c r="E499" s="325"/>
      <c r="F499" s="281"/>
      <c r="H499" s="315"/>
      <c r="I499" s="114"/>
    </row>
    <row r="500" spans="1:9" hidden="1" x14ac:dyDescent="0.25">
      <c r="A500" s="292"/>
      <c r="B500" s="218"/>
      <c r="C500" s="292"/>
      <c r="D500" s="293"/>
      <c r="E500" s="325"/>
      <c r="F500" s="281"/>
      <c r="H500" s="315"/>
      <c r="I500" s="114"/>
    </row>
    <row r="501" spans="1:9" hidden="1" x14ac:dyDescent="0.25">
      <c r="A501" s="292"/>
      <c r="B501" s="218"/>
      <c r="C501" s="292"/>
      <c r="D501" s="293"/>
      <c r="E501" s="325"/>
      <c r="F501" s="281"/>
      <c r="H501" s="315"/>
      <c r="I501" s="114"/>
    </row>
    <row r="502" spans="1:9" hidden="1" x14ac:dyDescent="0.25">
      <c r="A502" s="292"/>
      <c r="B502" s="218"/>
      <c r="C502" s="292"/>
      <c r="D502" s="293"/>
      <c r="E502" s="325"/>
      <c r="F502" s="281"/>
      <c r="H502" s="315"/>
      <c r="I502" s="114"/>
    </row>
    <row r="503" spans="1:9" hidden="1" x14ac:dyDescent="0.25">
      <c r="A503" s="292"/>
      <c r="B503" s="218"/>
      <c r="C503" s="292"/>
      <c r="D503" s="293"/>
      <c r="E503" s="325"/>
      <c r="F503" s="281"/>
      <c r="H503" s="315"/>
      <c r="I503" s="114"/>
    </row>
    <row r="504" spans="1:9" hidden="1" x14ac:dyDescent="0.25">
      <c r="A504" s="292"/>
      <c r="B504" s="218"/>
      <c r="C504" s="292"/>
      <c r="D504" s="293"/>
      <c r="E504" s="325"/>
      <c r="F504" s="281"/>
      <c r="H504" s="315"/>
      <c r="I504" s="114"/>
    </row>
    <row r="505" spans="1:9" hidden="1" x14ac:dyDescent="0.25">
      <c r="A505" s="292"/>
      <c r="B505" s="218"/>
      <c r="C505" s="292"/>
      <c r="D505" s="293"/>
      <c r="E505" s="325"/>
      <c r="F505" s="281"/>
      <c r="H505" s="315"/>
      <c r="I505" s="114"/>
    </row>
    <row r="506" spans="1:9" hidden="1" x14ac:dyDescent="0.25">
      <c r="A506" s="292"/>
      <c r="B506" s="218"/>
      <c r="C506" s="292"/>
      <c r="D506" s="293"/>
      <c r="E506" s="325"/>
      <c r="F506" s="281"/>
      <c r="H506" s="315"/>
      <c r="I506" s="114"/>
    </row>
    <row r="507" spans="1:9" hidden="1" x14ac:dyDescent="0.25">
      <c r="A507" s="292"/>
      <c r="B507" s="218"/>
      <c r="C507" s="89"/>
      <c r="D507" s="293"/>
      <c r="E507" s="325"/>
      <c r="F507" s="281"/>
    </row>
    <row r="508" spans="1:9" hidden="1" x14ac:dyDescent="0.25">
      <c r="A508" s="292"/>
      <c r="B508" s="218"/>
      <c r="C508" s="89"/>
      <c r="D508" s="293"/>
      <c r="E508" s="325"/>
      <c r="F508" s="281"/>
    </row>
    <row r="509" spans="1:9" hidden="1" x14ac:dyDescent="0.25">
      <c r="A509" s="292"/>
      <c r="B509" s="218"/>
      <c r="C509" s="89"/>
      <c r="D509" s="293"/>
      <c r="E509" s="325"/>
      <c r="F509" s="281"/>
    </row>
    <row r="510" spans="1:9" hidden="1" x14ac:dyDescent="0.25">
      <c r="A510" s="292"/>
      <c r="B510" s="218"/>
      <c r="C510" s="89"/>
      <c r="D510" s="293"/>
      <c r="E510" s="325"/>
      <c r="F510" s="281"/>
    </row>
    <row r="511" spans="1:9" hidden="1" x14ac:dyDescent="0.25">
      <c r="A511" s="292"/>
      <c r="B511" s="218"/>
      <c r="C511" s="89"/>
      <c r="D511" s="293"/>
      <c r="E511" s="325"/>
      <c r="F511" s="281"/>
    </row>
    <row r="512" spans="1:9" hidden="1" x14ac:dyDescent="0.25">
      <c r="A512" s="293"/>
      <c r="B512" s="218"/>
      <c r="C512" s="89"/>
      <c r="D512" s="292"/>
      <c r="E512" s="292"/>
      <c r="F512" s="217"/>
    </row>
    <row r="513" spans="1:6" x14ac:dyDescent="0.25">
      <c r="A513" s="312"/>
      <c r="E513" s="89" t="s">
        <v>205</v>
      </c>
      <c r="F513" s="266">
        <f>SUM(F261:F512)</f>
        <v>247857.29999999993</v>
      </c>
    </row>
    <row r="514" spans="1:6" x14ac:dyDescent="0.25">
      <c r="A514" s="213"/>
    </row>
    <row r="515" spans="1:6" x14ac:dyDescent="0.25">
      <c r="A515" s="213"/>
    </row>
    <row r="516" spans="1:6" x14ac:dyDescent="0.25">
      <c r="A516" s="213"/>
    </row>
    <row r="517" spans="1:6" x14ac:dyDescent="0.25">
      <c r="A517" s="213"/>
    </row>
    <row r="518" spans="1:6" x14ac:dyDescent="0.25">
      <c r="A518" s="213"/>
    </row>
  </sheetData>
  <mergeCells count="140">
    <mergeCell ref="A192:B192"/>
    <mergeCell ref="A255:E255"/>
    <mergeCell ref="A256:F256"/>
    <mergeCell ref="A258:A259"/>
    <mergeCell ref="B258:B259"/>
    <mergeCell ref="D258:D259"/>
    <mergeCell ref="E258:E259"/>
    <mergeCell ref="F258:F259"/>
    <mergeCell ref="A211:F211"/>
    <mergeCell ref="A212:F212"/>
    <mergeCell ref="A213:F213"/>
    <mergeCell ref="A215:A216"/>
    <mergeCell ref="B215:B216"/>
    <mergeCell ref="D215:D216"/>
    <mergeCell ref="E215:E216"/>
    <mergeCell ref="F215:F216"/>
    <mergeCell ref="A193:F193"/>
    <mergeCell ref="A206:A207"/>
    <mergeCell ref="B206:B207"/>
    <mergeCell ref="D206:D207"/>
    <mergeCell ref="E206:E207"/>
    <mergeCell ref="B43:C43"/>
    <mergeCell ref="B44:C44"/>
    <mergeCell ref="G206:G207"/>
    <mergeCell ref="A195:A196"/>
    <mergeCell ref="B195:B196"/>
    <mergeCell ref="D195:D196"/>
    <mergeCell ref="E195:E196"/>
    <mergeCell ref="F195:F196"/>
    <mergeCell ref="G195:G196"/>
    <mergeCell ref="A203:F203"/>
    <mergeCell ref="A204:F204"/>
    <mergeCell ref="F206:F207"/>
    <mergeCell ref="A164:F164"/>
    <mergeCell ref="A171:E171"/>
    <mergeCell ref="A189:B189"/>
    <mergeCell ref="A190:B190"/>
    <mergeCell ref="A191:B191"/>
    <mergeCell ref="F173:F174"/>
    <mergeCell ref="A183:E183"/>
    <mergeCell ref="A184:F184"/>
    <mergeCell ref="A187:B187"/>
    <mergeCell ref="A173:A174"/>
    <mergeCell ref="B173:B174"/>
    <mergeCell ref="D173:D174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G50:G51"/>
    <mergeCell ref="A52:B52"/>
    <mergeCell ref="A62:B62"/>
    <mergeCell ref="B42:C42"/>
    <mergeCell ref="A151:F151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140:F140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I142:I144"/>
    <mergeCell ref="B145:B146"/>
    <mergeCell ref="D145:D146"/>
    <mergeCell ref="E145:E146"/>
    <mergeCell ref="F145:F146"/>
    <mergeCell ref="G145:G146"/>
    <mergeCell ref="I145:I146"/>
    <mergeCell ref="A131:B131"/>
    <mergeCell ref="A132:B132"/>
    <mergeCell ref="A133:B133"/>
    <mergeCell ref="A134:B134"/>
    <mergeCell ref="A135:B135"/>
    <mergeCell ref="A136:B136"/>
    <mergeCell ref="A188:B188"/>
    <mergeCell ref="A154:H154"/>
    <mergeCell ref="A145:A146"/>
    <mergeCell ref="A142:A144"/>
    <mergeCell ref="A170:F170"/>
    <mergeCell ref="A137:B137"/>
    <mergeCell ref="B142:B144"/>
    <mergeCell ref="D142:D144"/>
    <mergeCell ref="E142:F142"/>
    <mergeCell ref="G142:G144"/>
    <mergeCell ref="E173:E174"/>
    <mergeCell ref="A155:A157"/>
    <mergeCell ref="B155:C157"/>
    <mergeCell ref="D155:F155"/>
    <mergeCell ref="D156:D157"/>
    <mergeCell ref="E156:E157"/>
    <mergeCell ref="F156:F157"/>
    <mergeCell ref="B158:C158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92" max="9" man="1"/>
    <brk id="25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E221"/>
  <sheetViews>
    <sheetView workbookViewId="0">
      <selection activeCell="G219" sqref="G219"/>
    </sheetView>
  </sheetViews>
  <sheetFormatPr defaultRowHeight="15" x14ac:dyDescent="0.25"/>
  <cols>
    <col min="2" max="2" width="46.125" customWidth="1"/>
    <col min="4" max="4" width="10.375" customWidth="1"/>
  </cols>
  <sheetData>
    <row r="1" spans="1:5" ht="15" customHeight="1" x14ac:dyDescent="0.25">
      <c r="A1" s="223" t="s">
        <v>180</v>
      </c>
      <c r="B1" s="451" t="s">
        <v>109</v>
      </c>
      <c r="C1" s="223" t="s">
        <v>181</v>
      </c>
      <c r="D1" s="222" t="s">
        <v>182</v>
      </c>
      <c r="E1" s="451" t="s">
        <v>183</v>
      </c>
    </row>
    <row r="2" spans="1:5" ht="15" customHeight="1" x14ac:dyDescent="0.25">
      <c r="A2" s="223">
        <v>1</v>
      </c>
      <c r="B2" s="449">
        <v>2</v>
      </c>
      <c r="C2" s="223">
        <v>3</v>
      </c>
      <c r="D2" s="223">
        <v>4</v>
      </c>
      <c r="E2" s="454">
        <v>5</v>
      </c>
    </row>
    <row r="3" spans="1:5" ht="15" customHeight="1" x14ac:dyDescent="0.25">
      <c r="A3" s="223"/>
      <c r="B3" s="424" t="s">
        <v>307</v>
      </c>
      <c r="C3" s="390">
        <v>1</v>
      </c>
      <c r="D3" s="391">
        <v>260</v>
      </c>
      <c r="E3" s="453">
        <f>C3*D3</f>
        <v>260</v>
      </c>
    </row>
    <row r="4" spans="1:5" ht="15" customHeight="1" x14ac:dyDescent="0.25">
      <c r="A4" s="223"/>
      <c r="B4" s="468" t="s">
        <v>308</v>
      </c>
      <c r="C4" s="473">
        <v>1</v>
      </c>
      <c r="D4" s="473">
        <v>22</v>
      </c>
      <c r="E4" s="453">
        <f t="shared" ref="E4:E53" si="0">C4*D4</f>
        <v>22</v>
      </c>
    </row>
    <row r="5" spans="1:5" ht="15" customHeight="1" x14ac:dyDescent="0.25">
      <c r="A5" s="223"/>
      <c r="B5" s="468" t="s">
        <v>309</v>
      </c>
      <c r="C5" s="473">
        <v>1</v>
      </c>
      <c r="D5" s="473">
        <v>127</v>
      </c>
      <c r="E5" s="453">
        <f t="shared" si="0"/>
        <v>127</v>
      </c>
    </row>
    <row r="6" spans="1:5" ht="15" customHeight="1" x14ac:dyDescent="0.25">
      <c r="A6" s="223"/>
      <c r="B6" s="468" t="s">
        <v>310</v>
      </c>
      <c r="C6" s="473">
        <v>2</v>
      </c>
      <c r="D6" s="473">
        <v>84</v>
      </c>
      <c r="E6" s="453">
        <f t="shared" si="0"/>
        <v>168</v>
      </c>
    </row>
    <row r="7" spans="1:5" ht="15" customHeight="1" x14ac:dyDescent="0.25">
      <c r="A7" s="223"/>
      <c r="B7" s="468" t="s">
        <v>311</v>
      </c>
      <c r="C7" s="473">
        <v>2</v>
      </c>
      <c r="D7" s="473">
        <v>490</v>
      </c>
      <c r="E7" s="453">
        <f t="shared" si="0"/>
        <v>980</v>
      </c>
    </row>
    <row r="8" spans="1:5" ht="34.5" customHeight="1" x14ac:dyDescent="0.25">
      <c r="A8" s="223"/>
      <c r="B8" s="468" t="s">
        <v>312</v>
      </c>
      <c r="C8" s="473">
        <v>1</v>
      </c>
      <c r="D8" s="473">
        <v>160</v>
      </c>
      <c r="E8" s="453">
        <f t="shared" si="0"/>
        <v>160</v>
      </c>
    </row>
    <row r="9" spans="1:5" ht="15" customHeight="1" x14ac:dyDescent="0.25">
      <c r="A9" s="223"/>
      <c r="B9" s="468" t="s">
        <v>313</v>
      </c>
      <c r="C9" s="473">
        <v>1</v>
      </c>
      <c r="D9" s="473">
        <v>216</v>
      </c>
      <c r="E9" s="453">
        <f t="shared" si="0"/>
        <v>216</v>
      </c>
    </row>
    <row r="10" spans="1:5" ht="15" customHeight="1" x14ac:dyDescent="0.25">
      <c r="A10" s="223"/>
      <c r="B10" s="468" t="s">
        <v>314</v>
      </c>
      <c r="C10" s="473">
        <v>1</v>
      </c>
      <c r="D10" s="473">
        <v>275</v>
      </c>
      <c r="E10" s="453">
        <f t="shared" si="0"/>
        <v>275</v>
      </c>
    </row>
    <row r="11" spans="1:5" ht="15" customHeight="1" x14ac:dyDescent="0.25">
      <c r="A11" s="223"/>
      <c r="B11" s="468" t="s">
        <v>315</v>
      </c>
      <c r="C11" s="473">
        <v>1</v>
      </c>
      <c r="D11" s="473">
        <v>634</v>
      </c>
      <c r="E11" s="453">
        <f t="shared" si="0"/>
        <v>634</v>
      </c>
    </row>
    <row r="12" spans="1:5" ht="15" customHeight="1" x14ac:dyDescent="0.25">
      <c r="A12" s="223"/>
      <c r="B12" s="468" t="s">
        <v>316</v>
      </c>
      <c r="C12" s="473">
        <v>2</v>
      </c>
      <c r="D12" s="473">
        <v>406</v>
      </c>
      <c r="E12" s="453">
        <f t="shared" si="0"/>
        <v>812</v>
      </c>
    </row>
    <row r="13" spans="1:5" ht="15" customHeight="1" x14ac:dyDescent="0.25">
      <c r="A13" s="223"/>
      <c r="B13" s="468" t="s">
        <v>317</v>
      </c>
      <c r="C13" s="473">
        <v>1</v>
      </c>
      <c r="D13" s="473">
        <v>147</v>
      </c>
      <c r="E13" s="453">
        <f t="shared" si="0"/>
        <v>147</v>
      </c>
    </row>
    <row r="14" spans="1:5" ht="15" customHeight="1" x14ac:dyDescent="0.25">
      <c r="A14" s="223"/>
      <c r="B14" s="468" t="s">
        <v>318</v>
      </c>
      <c r="C14" s="473">
        <v>1</v>
      </c>
      <c r="D14" s="473">
        <v>205</v>
      </c>
      <c r="E14" s="453">
        <f t="shared" si="0"/>
        <v>205</v>
      </c>
    </row>
    <row r="15" spans="1:5" ht="15" customHeight="1" x14ac:dyDescent="0.25">
      <c r="A15" s="223"/>
      <c r="B15" s="468" t="s">
        <v>319</v>
      </c>
      <c r="C15" s="473">
        <v>1</v>
      </c>
      <c r="D15" s="473">
        <v>96</v>
      </c>
      <c r="E15" s="453">
        <f t="shared" si="0"/>
        <v>96</v>
      </c>
    </row>
    <row r="16" spans="1:5" ht="15" customHeight="1" x14ac:dyDescent="0.25">
      <c r="A16" s="223"/>
      <c r="B16" s="468" t="s">
        <v>320</v>
      </c>
      <c r="C16" s="473">
        <v>1</v>
      </c>
      <c r="D16" s="473">
        <v>133</v>
      </c>
      <c r="E16" s="453">
        <f t="shared" si="0"/>
        <v>133</v>
      </c>
    </row>
    <row r="17" spans="1:5" ht="15" customHeight="1" x14ac:dyDescent="0.25">
      <c r="A17" s="223"/>
      <c r="B17" s="468" t="s">
        <v>321</v>
      </c>
      <c r="C17" s="473">
        <v>1</v>
      </c>
      <c r="D17" s="473">
        <v>189</v>
      </c>
      <c r="E17" s="453">
        <f t="shared" si="0"/>
        <v>189</v>
      </c>
    </row>
    <row r="18" spans="1:5" ht="15" customHeight="1" x14ac:dyDescent="0.25">
      <c r="A18" s="223"/>
      <c r="B18" s="468" t="s">
        <v>322</v>
      </c>
      <c r="C18" s="473">
        <v>1</v>
      </c>
      <c r="D18" s="473">
        <v>69</v>
      </c>
      <c r="E18" s="453">
        <f t="shared" si="0"/>
        <v>69</v>
      </c>
    </row>
    <row r="19" spans="1:5" ht="15" customHeight="1" x14ac:dyDescent="0.25">
      <c r="A19" s="223"/>
      <c r="B19" s="468" t="s">
        <v>323</v>
      </c>
      <c r="C19" s="473">
        <v>1</v>
      </c>
      <c r="D19" s="473">
        <v>40</v>
      </c>
      <c r="E19" s="453">
        <f t="shared" si="0"/>
        <v>40</v>
      </c>
    </row>
    <row r="20" spans="1:5" ht="15" customHeight="1" x14ac:dyDescent="0.25">
      <c r="A20" s="223"/>
      <c r="B20" s="468" t="s">
        <v>324</v>
      </c>
      <c r="C20" s="473">
        <v>1</v>
      </c>
      <c r="D20" s="473">
        <v>48</v>
      </c>
      <c r="E20" s="453">
        <f t="shared" si="0"/>
        <v>48</v>
      </c>
    </row>
    <row r="21" spans="1:5" ht="15" customHeight="1" x14ac:dyDescent="0.25">
      <c r="A21" s="223"/>
      <c r="B21" s="468" t="s">
        <v>325</v>
      </c>
      <c r="C21" s="473">
        <v>18</v>
      </c>
      <c r="D21" s="473">
        <v>89</v>
      </c>
      <c r="E21" s="453">
        <f t="shared" si="0"/>
        <v>1602</v>
      </c>
    </row>
    <row r="22" spans="1:5" ht="15" customHeight="1" x14ac:dyDescent="0.25">
      <c r="A22" s="223"/>
      <c r="B22" s="468" t="s">
        <v>326</v>
      </c>
      <c r="C22" s="473">
        <v>12</v>
      </c>
      <c r="D22" s="473">
        <v>15</v>
      </c>
      <c r="E22" s="453">
        <f t="shared" si="0"/>
        <v>180</v>
      </c>
    </row>
    <row r="23" spans="1:5" ht="36" customHeight="1" x14ac:dyDescent="0.25">
      <c r="A23" s="223"/>
      <c r="B23" s="468" t="s">
        <v>327</v>
      </c>
      <c r="C23" s="473">
        <v>12</v>
      </c>
      <c r="D23" s="473">
        <v>15</v>
      </c>
      <c r="E23" s="453">
        <f t="shared" si="0"/>
        <v>180</v>
      </c>
    </row>
    <row r="24" spans="1:5" ht="15" customHeight="1" x14ac:dyDescent="0.25">
      <c r="A24" s="279"/>
      <c r="B24" s="468" t="s">
        <v>328</v>
      </c>
      <c r="C24" s="473">
        <v>20</v>
      </c>
      <c r="D24" s="473">
        <v>15</v>
      </c>
      <c r="E24" s="453">
        <f t="shared" si="0"/>
        <v>300</v>
      </c>
    </row>
    <row r="25" spans="1:5" ht="15" customHeight="1" x14ac:dyDescent="0.25">
      <c r="A25" s="279"/>
      <c r="B25" s="468" t="s">
        <v>329</v>
      </c>
      <c r="C25" s="473">
        <v>6</v>
      </c>
      <c r="D25" s="473">
        <v>15</v>
      </c>
      <c r="E25" s="453">
        <f t="shared" si="0"/>
        <v>90</v>
      </c>
    </row>
    <row r="26" spans="1:5" ht="15" customHeight="1" x14ac:dyDescent="0.25">
      <c r="A26" s="279"/>
      <c r="B26" s="468" t="s">
        <v>330</v>
      </c>
      <c r="C26" s="473">
        <v>6</v>
      </c>
      <c r="D26" s="473">
        <v>15</v>
      </c>
      <c r="E26" s="453">
        <f t="shared" si="0"/>
        <v>90</v>
      </c>
    </row>
    <row r="27" spans="1:5" ht="30.75" customHeight="1" x14ac:dyDescent="0.25">
      <c r="A27" s="279"/>
      <c r="B27" s="468" t="s">
        <v>331</v>
      </c>
      <c r="C27" s="473">
        <v>1</v>
      </c>
      <c r="D27" s="473">
        <v>1871</v>
      </c>
      <c r="E27" s="453">
        <f t="shared" si="0"/>
        <v>1871</v>
      </c>
    </row>
    <row r="28" spans="1:5" ht="60" customHeight="1" x14ac:dyDescent="0.25">
      <c r="A28" s="279"/>
      <c r="B28" s="468" t="s">
        <v>332</v>
      </c>
      <c r="C28" s="473">
        <v>2</v>
      </c>
      <c r="D28" s="473">
        <v>195</v>
      </c>
      <c r="E28" s="453">
        <f t="shared" si="0"/>
        <v>390</v>
      </c>
    </row>
    <row r="29" spans="1:5" ht="37.5" customHeight="1" x14ac:dyDescent="0.25">
      <c r="A29" s="279"/>
      <c r="B29" s="468" t="s">
        <v>333</v>
      </c>
      <c r="C29" s="473">
        <v>1</v>
      </c>
      <c r="D29" s="473">
        <v>169</v>
      </c>
      <c r="E29" s="453">
        <f t="shared" si="0"/>
        <v>169</v>
      </c>
    </row>
    <row r="30" spans="1:5" ht="37.5" customHeight="1" x14ac:dyDescent="0.25">
      <c r="A30" s="279"/>
      <c r="B30" s="468" t="s">
        <v>334</v>
      </c>
      <c r="C30" s="473">
        <v>2</v>
      </c>
      <c r="D30" s="473">
        <v>300</v>
      </c>
      <c r="E30" s="453">
        <f t="shared" si="0"/>
        <v>600</v>
      </c>
    </row>
    <row r="31" spans="1:5" ht="37.5" customHeight="1" x14ac:dyDescent="0.25">
      <c r="A31" s="279"/>
      <c r="B31" s="468" t="s">
        <v>335</v>
      </c>
      <c r="C31" s="473">
        <v>20</v>
      </c>
      <c r="D31" s="473">
        <v>290</v>
      </c>
      <c r="E31" s="453">
        <f t="shared" si="0"/>
        <v>5800</v>
      </c>
    </row>
    <row r="32" spans="1:5" ht="37.5" customHeight="1" x14ac:dyDescent="0.25">
      <c r="A32" s="279"/>
      <c r="B32" s="468" t="s">
        <v>336</v>
      </c>
      <c r="C32" s="473">
        <v>6</v>
      </c>
      <c r="D32" s="473">
        <v>775</v>
      </c>
      <c r="E32" s="453">
        <f t="shared" si="0"/>
        <v>4650</v>
      </c>
    </row>
    <row r="33" spans="1:5" ht="37.5" customHeight="1" x14ac:dyDescent="0.25">
      <c r="A33" s="279"/>
      <c r="B33" s="468" t="s">
        <v>337</v>
      </c>
      <c r="C33" s="473">
        <v>2</v>
      </c>
      <c r="D33" s="473">
        <v>970</v>
      </c>
      <c r="E33" s="453">
        <f t="shared" si="0"/>
        <v>1940</v>
      </c>
    </row>
    <row r="34" spans="1:5" ht="37.5" customHeight="1" x14ac:dyDescent="0.25">
      <c r="A34" s="279"/>
      <c r="B34" s="468" t="s">
        <v>338</v>
      </c>
      <c r="C34" s="473">
        <v>2</v>
      </c>
      <c r="D34" s="473">
        <v>420</v>
      </c>
      <c r="E34" s="453">
        <f t="shared" si="0"/>
        <v>840</v>
      </c>
    </row>
    <row r="35" spans="1:5" ht="37.5" customHeight="1" x14ac:dyDescent="0.25">
      <c r="A35" s="279"/>
      <c r="B35" s="468" t="s">
        <v>339</v>
      </c>
      <c r="C35" s="473">
        <v>1</v>
      </c>
      <c r="D35" s="473">
        <v>400</v>
      </c>
      <c r="E35" s="453">
        <f t="shared" si="0"/>
        <v>400</v>
      </c>
    </row>
    <row r="36" spans="1:5" ht="37.5" customHeight="1" x14ac:dyDescent="0.25">
      <c r="A36" s="279"/>
      <c r="B36" s="468" t="s">
        <v>340</v>
      </c>
      <c r="C36" s="473">
        <v>1</v>
      </c>
      <c r="D36" s="473">
        <v>465</v>
      </c>
      <c r="E36" s="453">
        <f t="shared" si="0"/>
        <v>465</v>
      </c>
    </row>
    <row r="37" spans="1:5" ht="37.5" customHeight="1" x14ac:dyDescent="0.25">
      <c r="A37" s="279"/>
      <c r="B37" s="468" t="s">
        <v>341</v>
      </c>
      <c r="C37" s="473">
        <v>2</v>
      </c>
      <c r="D37" s="473">
        <v>42</v>
      </c>
      <c r="E37" s="453">
        <f t="shared" si="0"/>
        <v>84</v>
      </c>
    </row>
    <row r="38" spans="1:5" ht="37.5" customHeight="1" x14ac:dyDescent="0.25">
      <c r="A38" s="279"/>
      <c r="B38" s="468" t="s">
        <v>342</v>
      </c>
      <c r="C38" s="473">
        <v>1</v>
      </c>
      <c r="D38" s="473">
        <v>220</v>
      </c>
      <c r="E38" s="453">
        <f t="shared" si="0"/>
        <v>220</v>
      </c>
    </row>
    <row r="39" spans="1:5" ht="37.5" customHeight="1" x14ac:dyDescent="0.25">
      <c r="A39" s="279"/>
      <c r="B39" s="468" t="s">
        <v>343</v>
      </c>
      <c r="C39" s="473">
        <v>10</v>
      </c>
      <c r="D39" s="473">
        <v>96</v>
      </c>
      <c r="E39" s="453">
        <f t="shared" si="0"/>
        <v>960</v>
      </c>
    </row>
    <row r="40" spans="1:5" ht="37.5" customHeight="1" x14ac:dyDescent="0.25">
      <c r="A40" s="279"/>
      <c r="B40" s="468" t="s">
        <v>344</v>
      </c>
      <c r="C40" s="473">
        <v>2</v>
      </c>
      <c r="D40" s="473">
        <v>217</v>
      </c>
      <c r="E40" s="453">
        <f t="shared" si="0"/>
        <v>434</v>
      </c>
    </row>
    <row r="41" spans="1:5" ht="37.5" customHeight="1" x14ac:dyDescent="0.25">
      <c r="A41" s="279"/>
      <c r="B41" s="468" t="s">
        <v>345</v>
      </c>
      <c r="C41" s="473">
        <v>1</v>
      </c>
      <c r="D41" s="473">
        <v>235</v>
      </c>
      <c r="E41" s="453">
        <f t="shared" si="0"/>
        <v>235</v>
      </c>
    </row>
    <row r="42" spans="1:5" ht="37.5" customHeight="1" x14ac:dyDescent="0.25">
      <c r="A42" s="279"/>
      <c r="B42" s="468" t="s">
        <v>346</v>
      </c>
      <c r="C42" s="473">
        <v>1</v>
      </c>
      <c r="D42" s="473">
        <v>535</v>
      </c>
      <c r="E42" s="453">
        <f t="shared" si="0"/>
        <v>535</v>
      </c>
    </row>
    <row r="43" spans="1:5" ht="37.5" customHeight="1" x14ac:dyDescent="0.25">
      <c r="A43" s="279"/>
      <c r="B43" s="468" t="s">
        <v>347</v>
      </c>
      <c r="C43" s="473">
        <v>2</v>
      </c>
      <c r="D43" s="473">
        <v>1475</v>
      </c>
      <c r="E43" s="453">
        <f t="shared" si="0"/>
        <v>2950</v>
      </c>
    </row>
    <row r="44" spans="1:5" ht="37.5" customHeight="1" x14ac:dyDescent="0.25">
      <c r="A44" s="279"/>
      <c r="B44" s="468" t="s">
        <v>348</v>
      </c>
      <c r="C44" s="473">
        <v>8</v>
      </c>
      <c r="D44" s="473">
        <v>4</v>
      </c>
      <c r="E44" s="453">
        <f t="shared" si="0"/>
        <v>32</v>
      </c>
    </row>
    <row r="45" spans="1:5" ht="37.5" customHeight="1" x14ac:dyDescent="0.25">
      <c r="A45" s="279"/>
      <c r="B45" s="468" t="s">
        <v>349</v>
      </c>
      <c r="C45" s="473">
        <v>8</v>
      </c>
      <c r="D45" s="473">
        <v>3</v>
      </c>
      <c r="E45" s="453">
        <f t="shared" si="0"/>
        <v>24</v>
      </c>
    </row>
    <row r="46" spans="1:5" ht="37.5" customHeight="1" x14ac:dyDescent="0.25">
      <c r="A46" s="279"/>
      <c r="B46" s="468" t="s">
        <v>350</v>
      </c>
      <c r="C46" s="473">
        <v>8</v>
      </c>
      <c r="D46" s="473">
        <v>1.5</v>
      </c>
      <c r="E46" s="453">
        <f t="shared" si="0"/>
        <v>12</v>
      </c>
    </row>
    <row r="47" spans="1:5" ht="37.5" customHeight="1" x14ac:dyDescent="0.25">
      <c r="A47" s="279"/>
      <c r="B47" s="468" t="s">
        <v>351</v>
      </c>
      <c r="C47" s="473">
        <v>1</v>
      </c>
      <c r="D47" s="473">
        <v>50</v>
      </c>
      <c r="E47" s="453">
        <f t="shared" si="0"/>
        <v>50</v>
      </c>
    </row>
    <row r="48" spans="1:5" ht="37.5" customHeight="1" x14ac:dyDescent="0.25">
      <c r="A48" s="279"/>
      <c r="B48" s="468" t="s">
        <v>352</v>
      </c>
      <c r="C48" s="473">
        <v>1</v>
      </c>
      <c r="D48" s="473">
        <v>50</v>
      </c>
      <c r="E48" s="453">
        <f t="shared" si="0"/>
        <v>50</v>
      </c>
    </row>
    <row r="49" spans="1:5" ht="37.5" customHeight="1" x14ac:dyDescent="0.25">
      <c r="A49" s="279"/>
      <c r="B49" s="468" t="s">
        <v>353</v>
      </c>
      <c r="C49" s="473">
        <v>1</v>
      </c>
      <c r="D49" s="473">
        <v>50</v>
      </c>
      <c r="E49" s="453">
        <f t="shared" si="0"/>
        <v>50</v>
      </c>
    </row>
    <row r="50" spans="1:5" ht="37.5" customHeight="1" x14ac:dyDescent="0.25">
      <c r="A50" s="279"/>
      <c r="B50" s="468" t="s">
        <v>354</v>
      </c>
      <c r="C50" s="473">
        <v>1</v>
      </c>
      <c r="D50" s="473">
        <v>54</v>
      </c>
      <c r="E50" s="453">
        <f t="shared" si="0"/>
        <v>54</v>
      </c>
    </row>
    <row r="51" spans="1:5" ht="37.5" customHeight="1" x14ac:dyDescent="0.25">
      <c r="A51" s="279"/>
      <c r="B51" s="468" t="s">
        <v>355</v>
      </c>
      <c r="C51" s="473">
        <v>1</v>
      </c>
      <c r="D51" s="473">
        <v>46</v>
      </c>
      <c r="E51" s="453">
        <f t="shared" si="0"/>
        <v>46</v>
      </c>
    </row>
    <row r="52" spans="1:5" ht="37.5" customHeight="1" x14ac:dyDescent="0.25">
      <c r="A52" s="279"/>
      <c r="B52" s="468" t="s">
        <v>356</v>
      </c>
      <c r="C52" s="473">
        <v>2</v>
      </c>
      <c r="D52" s="473">
        <v>18</v>
      </c>
      <c r="E52" s="453">
        <f t="shared" si="0"/>
        <v>36</v>
      </c>
    </row>
    <row r="53" spans="1:5" ht="37.5" customHeight="1" x14ac:dyDescent="0.25">
      <c r="A53" s="279"/>
      <c r="B53" s="468" t="s">
        <v>357</v>
      </c>
      <c r="C53" s="473">
        <v>1</v>
      </c>
      <c r="D53" s="473">
        <v>80</v>
      </c>
      <c r="E53" s="453">
        <f t="shared" si="0"/>
        <v>80</v>
      </c>
    </row>
    <row r="54" spans="1:5" s="486" customFormat="1" ht="37.5" customHeight="1" x14ac:dyDescent="0.25">
      <c r="A54" s="481"/>
      <c r="B54" s="482" t="s">
        <v>358</v>
      </c>
      <c r="C54" s="483">
        <v>2</v>
      </c>
      <c r="D54" s="484">
        <v>785</v>
      </c>
      <c r="E54" s="485">
        <f t="shared" ref="E54:E109" si="1">C54*D54</f>
        <v>1570</v>
      </c>
    </row>
    <row r="55" spans="1:5" ht="37.5" customHeight="1" x14ac:dyDescent="0.25">
      <c r="A55" s="279"/>
      <c r="B55" s="425" t="s">
        <v>359</v>
      </c>
      <c r="C55" s="390">
        <v>1</v>
      </c>
      <c r="D55" s="391">
        <v>650</v>
      </c>
      <c r="E55" s="453">
        <f t="shared" si="1"/>
        <v>650</v>
      </c>
    </row>
    <row r="56" spans="1:5" ht="37.5" customHeight="1" x14ac:dyDescent="0.25">
      <c r="A56" s="279"/>
      <c r="B56" s="425" t="s">
        <v>360</v>
      </c>
      <c r="C56" s="390">
        <v>1</v>
      </c>
      <c r="D56" s="391">
        <v>500</v>
      </c>
      <c r="E56" s="453">
        <f t="shared" si="1"/>
        <v>500</v>
      </c>
    </row>
    <row r="57" spans="1:5" ht="37.5" customHeight="1" x14ac:dyDescent="0.25">
      <c r="A57" s="279"/>
      <c r="B57" s="425" t="s">
        <v>361</v>
      </c>
      <c r="C57" s="390">
        <v>6000</v>
      </c>
      <c r="D57" s="391">
        <v>2.8</v>
      </c>
      <c r="E57" s="453">
        <f t="shared" si="1"/>
        <v>16800</v>
      </c>
    </row>
    <row r="58" spans="1:5" ht="37.5" customHeight="1" x14ac:dyDescent="0.25">
      <c r="A58" s="279"/>
      <c r="B58" s="425" t="s">
        <v>362</v>
      </c>
      <c r="C58" s="390">
        <v>4</v>
      </c>
      <c r="D58" s="391">
        <v>910</v>
      </c>
      <c r="E58" s="453">
        <f t="shared" si="1"/>
        <v>3640</v>
      </c>
    </row>
    <row r="59" spans="1:5" ht="37.5" customHeight="1" x14ac:dyDescent="0.25">
      <c r="A59" s="279"/>
      <c r="B59" s="425" t="s">
        <v>258</v>
      </c>
      <c r="C59" s="390">
        <v>65</v>
      </c>
      <c r="D59" s="391">
        <v>290</v>
      </c>
      <c r="E59" s="453">
        <f t="shared" si="1"/>
        <v>18850</v>
      </c>
    </row>
    <row r="60" spans="1:5" ht="37.5" customHeight="1" x14ac:dyDescent="0.25">
      <c r="A60" s="279"/>
      <c r="B60" s="425" t="s">
        <v>363</v>
      </c>
      <c r="C60" s="390">
        <v>10</v>
      </c>
      <c r="D60" s="391">
        <v>95</v>
      </c>
      <c r="E60" s="453">
        <f t="shared" si="1"/>
        <v>950</v>
      </c>
    </row>
    <row r="61" spans="1:5" ht="37.5" customHeight="1" x14ac:dyDescent="0.25">
      <c r="A61" s="279"/>
      <c r="B61" s="425" t="s">
        <v>364</v>
      </c>
      <c r="C61" s="390">
        <v>5</v>
      </c>
      <c r="D61" s="391">
        <v>949</v>
      </c>
      <c r="E61" s="453">
        <f t="shared" si="1"/>
        <v>4745</v>
      </c>
    </row>
    <row r="62" spans="1:5" ht="37.5" customHeight="1" x14ac:dyDescent="0.25">
      <c r="A62" s="279"/>
      <c r="B62" s="425" t="s">
        <v>365</v>
      </c>
      <c r="C62" s="390">
        <v>4</v>
      </c>
      <c r="D62" s="391">
        <v>790</v>
      </c>
      <c r="E62" s="453">
        <f t="shared" si="1"/>
        <v>3160</v>
      </c>
    </row>
    <row r="63" spans="1:5" ht="37.5" customHeight="1" x14ac:dyDescent="0.25">
      <c r="A63" s="279"/>
      <c r="B63" s="425" t="s">
        <v>366</v>
      </c>
      <c r="C63" s="390">
        <v>4</v>
      </c>
      <c r="D63" s="391">
        <v>1040</v>
      </c>
      <c r="E63" s="453">
        <f t="shared" si="1"/>
        <v>4160</v>
      </c>
    </row>
    <row r="64" spans="1:5" ht="37.5" customHeight="1" x14ac:dyDescent="0.25">
      <c r="A64" s="279"/>
      <c r="B64" s="425" t="s">
        <v>367</v>
      </c>
      <c r="C64" s="390">
        <v>10</v>
      </c>
      <c r="D64" s="391">
        <v>790</v>
      </c>
      <c r="E64" s="453">
        <f t="shared" si="1"/>
        <v>7900</v>
      </c>
    </row>
    <row r="65" spans="1:5" ht="37.5" customHeight="1" x14ac:dyDescent="0.25">
      <c r="A65" s="279"/>
      <c r="B65" s="425" t="s">
        <v>368</v>
      </c>
      <c r="C65" s="390">
        <v>10</v>
      </c>
      <c r="D65" s="391">
        <v>680</v>
      </c>
      <c r="E65" s="453">
        <f t="shared" si="1"/>
        <v>6800</v>
      </c>
    </row>
    <row r="66" spans="1:5" ht="37.5" customHeight="1" x14ac:dyDescent="0.25">
      <c r="A66" s="279"/>
      <c r="B66" s="425" t="s">
        <v>369</v>
      </c>
      <c r="C66" s="390">
        <v>10</v>
      </c>
      <c r="D66" s="391">
        <v>490</v>
      </c>
      <c r="E66" s="453">
        <f t="shared" si="1"/>
        <v>4900</v>
      </c>
    </row>
    <row r="67" spans="1:5" ht="37.5" customHeight="1" x14ac:dyDescent="0.25">
      <c r="A67" s="279"/>
      <c r="B67" s="425" t="s">
        <v>370</v>
      </c>
      <c r="C67" s="390">
        <v>10</v>
      </c>
      <c r="D67" s="391">
        <v>745</v>
      </c>
      <c r="E67" s="453">
        <f t="shared" si="1"/>
        <v>7450</v>
      </c>
    </row>
    <row r="68" spans="1:5" ht="37.5" customHeight="1" x14ac:dyDescent="0.25">
      <c r="A68" s="279"/>
      <c r="B68" s="425" t="s">
        <v>371</v>
      </c>
      <c r="C68" s="390">
        <v>20</v>
      </c>
      <c r="D68" s="391">
        <v>100</v>
      </c>
      <c r="E68" s="453">
        <f t="shared" si="1"/>
        <v>2000</v>
      </c>
    </row>
    <row r="69" spans="1:5" ht="37.5" customHeight="1" x14ac:dyDescent="0.25">
      <c r="A69" s="279"/>
      <c r="B69" s="425" t="s">
        <v>372</v>
      </c>
      <c r="C69" s="390">
        <v>20</v>
      </c>
      <c r="D69" s="391">
        <v>90</v>
      </c>
      <c r="E69" s="453">
        <f t="shared" si="1"/>
        <v>1800</v>
      </c>
    </row>
    <row r="70" spans="1:5" ht="37.5" customHeight="1" x14ac:dyDescent="0.25">
      <c r="A70" s="279"/>
      <c r="B70" s="425" t="s">
        <v>373</v>
      </c>
      <c r="C70" s="390">
        <v>5</v>
      </c>
      <c r="D70" s="391">
        <v>290</v>
      </c>
      <c r="E70" s="453">
        <f t="shared" si="1"/>
        <v>1450</v>
      </c>
    </row>
    <row r="71" spans="1:5" ht="37.5" customHeight="1" x14ac:dyDescent="0.25">
      <c r="A71" s="279"/>
      <c r="B71" s="425" t="s">
        <v>374</v>
      </c>
      <c r="C71" s="390">
        <v>40</v>
      </c>
      <c r="D71" s="391">
        <v>200</v>
      </c>
      <c r="E71" s="453">
        <f t="shared" si="1"/>
        <v>8000</v>
      </c>
    </row>
    <row r="72" spans="1:5" ht="37.5" customHeight="1" x14ac:dyDescent="0.25">
      <c r="A72" s="279"/>
      <c r="B72" s="425" t="s">
        <v>375</v>
      </c>
      <c r="C72" s="390">
        <v>10</v>
      </c>
      <c r="D72" s="391">
        <v>350</v>
      </c>
      <c r="E72" s="453">
        <f t="shared" si="1"/>
        <v>3500</v>
      </c>
    </row>
    <row r="73" spans="1:5" ht="37.5" customHeight="1" x14ac:dyDescent="0.25">
      <c r="A73" s="279"/>
      <c r="B73" s="425" t="s">
        <v>376</v>
      </c>
      <c r="C73" s="390">
        <v>20</v>
      </c>
      <c r="D73" s="391">
        <v>50</v>
      </c>
      <c r="E73" s="453">
        <f t="shared" si="1"/>
        <v>1000</v>
      </c>
    </row>
    <row r="74" spans="1:5" ht="37.5" customHeight="1" x14ac:dyDescent="0.25">
      <c r="A74" s="279"/>
      <c r="B74" s="425" t="s">
        <v>377</v>
      </c>
      <c r="C74" s="390">
        <v>50</v>
      </c>
      <c r="D74" s="391">
        <v>15</v>
      </c>
      <c r="E74" s="453">
        <f t="shared" si="1"/>
        <v>750</v>
      </c>
    </row>
    <row r="75" spans="1:5" ht="37.5" customHeight="1" x14ac:dyDescent="0.25">
      <c r="A75" s="279"/>
      <c r="B75" s="425" t="s">
        <v>378</v>
      </c>
      <c r="C75" s="390">
        <v>20</v>
      </c>
      <c r="D75" s="391">
        <v>50</v>
      </c>
      <c r="E75" s="453">
        <f t="shared" si="1"/>
        <v>1000</v>
      </c>
    </row>
    <row r="76" spans="1:5" ht="37.5" customHeight="1" x14ac:dyDescent="0.25">
      <c r="A76" s="279"/>
      <c r="B76" s="425" t="s">
        <v>379</v>
      </c>
      <c r="C76" s="390">
        <v>20</v>
      </c>
      <c r="D76" s="391">
        <v>20</v>
      </c>
      <c r="E76" s="453">
        <f t="shared" si="1"/>
        <v>400</v>
      </c>
    </row>
    <row r="77" spans="1:5" ht="37.5" customHeight="1" x14ac:dyDescent="0.25">
      <c r="A77" s="279"/>
      <c r="B77" s="425" t="s">
        <v>380</v>
      </c>
      <c r="C77" s="390">
        <v>5</v>
      </c>
      <c r="D77" s="391">
        <v>320</v>
      </c>
      <c r="E77" s="453">
        <f t="shared" si="1"/>
        <v>1600</v>
      </c>
    </row>
    <row r="78" spans="1:5" ht="37.5" customHeight="1" x14ac:dyDescent="0.25">
      <c r="A78" s="279"/>
      <c r="B78" s="425" t="s">
        <v>381</v>
      </c>
      <c r="C78" s="390">
        <v>10</v>
      </c>
      <c r="D78" s="391">
        <v>285</v>
      </c>
      <c r="E78" s="453">
        <f t="shared" si="1"/>
        <v>2850</v>
      </c>
    </row>
    <row r="79" spans="1:5" ht="37.5" customHeight="1" x14ac:dyDescent="0.25">
      <c r="A79" s="279"/>
      <c r="B79" s="425" t="s">
        <v>382</v>
      </c>
      <c r="C79" s="390">
        <v>100</v>
      </c>
      <c r="D79" s="391">
        <v>135</v>
      </c>
      <c r="E79" s="453">
        <f t="shared" si="1"/>
        <v>13500</v>
      </c>
    </row>
    <row r="80" spans="1:5" ht="37.5" customHeight="1" x14ac:dyDescent="0.25">
      <c r="A80" s="279"/>
      <c r="B80" s="425" t="s">
        <v>383</v>
      </c>
      <c r="C80" s="390">
        <v>75</v>
      </c>
      <c r="D80" s="391">
        <v>150</v>
      </c>
      <c r="E80" s="453">
        <f t="shared" si="1"/>
        <v>11250</v>
      </c>
    </row>
    <row r="81" spans="1:5" ht="37.5" customHeight="1" x14ac:dyDescent="0.25">
      <c r="A81" s="279"/>
      <c r="B81" s="425" t="s">
        <v>383</v>
      </c>
      <c r="C81" s="390">
        <v>75</v>
      </c>
      <c r="D81" s="391">
        <v>165</v>
      </c>
      <c r="E81" s="453">
        <f t="shared" si="1"/>
        <v>12375</v>
      </c>
    </row>
    <row r="82" spans="1:5" ht="37.5" customHeight="1" x14ac:dyDescent="0.25">
      <c r="A82" s="279"/>
      <c r="B82" s="425" t="s">
        <v>384</v>
      </c>
      <c r="C82" s="390">
        <v>3</v>
      </c>
      <c r="D82" s="391">
        <v>665</v>
      </c>
      <c r="E82" s="453">
        <f t="shared" si="1"/>
        <v>1995</v>
      </c>
    </row>
    <row r="83" spans="1:5" ht="37.5" customHeight="1" x14ac:dyDescent="0.25">
      <c r="A83" s="279"/>
      <c r="B83" s="425" t="s">
        <v>385</v>
      </c>
      <c r="C83" s="390">
        <v>2</v>
      </c>
      <c r="D83" s="391">
        <v>1025</v>
      </c>
      <c r="E83" s="453">
        <f t="shared" si="1"/>
        <v>2050</v>
      </c>
    </row>
    <row r="84" spans="1:5" ht="37.5" customHeight="1" x14ac:dyDescent="0.25">
      <c r="A84" s="279"/>
      <c r="B84" s="425" t="s">
        <v>386</v>
      </c>
      <c r="C84" s="390">
        <v>2</v>
      </c>
      <c r="D84" s="391">
        <v>510</v>
      </c>
      <c r="E84" s="453">
        <f t="shared" si="1"/>
        <v>1020</v>
      </c>
    </row>
    <row r="85" spans="1:5" ht="37.5" customHeight="1" x14ac:dyDescent="0.25">
      <c r="A85" s="279"/>
      <c r="B85" s="425" t="s">
        <v>387</v>
      </c>
      <c r="C85" s="390">
        <v>3</v>
      </c>
      <c r="D85" s="391">
        <v>950</v>
      </c>
      <c r="E85" s="453">
        <f t="shared" si="1"/>
        <v>2850</v>
      </c>
    </row>
    <row r="86" spans="1:5" s="486" customFormat="1" ht="37.5" customHeight="1" x14ac:dyDescent="0.25">
      <c r="A86" s="481"/>
      <c r="B86" s="482" t="s">
        <v>281</v>
      </c>
      <c r="C86" s="483">
        <v>3</v>
      </c>
      <c r="D86" s="484">
        <v>90</v>
      </c>
      <c r="E86" s="485">
        <f t="shared" si="1"/>
        <v>270</v>
      </c>
    </row>
    <row r="87" spans="1:5" ht="37.5" customHeight="1" x14ac:dyDescent="0.25">
      <c r="A87" s="279"/>
      <c r="B87" s="425" t="s">
        <v>282</v>
      </c>
      <c r="C87" s="390">
        <v>1</v>
      </c>
      <c r="D87" s="391">
        <v>220</v>
      </c>
      <c r="E87" s="453">
        <f t="shared" si="1"/>
        <v>220</v>
      </c>
    </row>
    <row r="88" spans="1:5" ht="37.5" customHeight="1" x14ac:dyDescent="0.25">
      <c r="A88" s="279"/>
      <c r="B88" s="425" t="s">
        <v>282</v>
      </c>
      <c r="C88" s="390">
        <v>1</v>
      </c>
      <c r="D88" s="391">
        <v>164</v>
      </c>
      <c r="E88" s="453">
        <f t="shared" si="1"/>
        <v>164</v>
      </c>
    </row>
    <row r="89" spans="1:5" ht="37.5" customHeight="1" x14ac:dyDescent="0.25">
      <c r="A89" s="279"/>
      <c r="B89" s="425" t="s">
        <v>283</v>
      </c>
      <c r="C89" s="390">
        <v>32</v>
      </c>
      <c r="D89" s="391">
        <v>47</v>
      </c>
      <c r="E89" s="453">
        <f t="shared" si="1"/>
        <v>1504</v>
      </c>
    </row>
    <row r="90" spans="1:5" ht="37.5" customHeight="1" x14ac:dyDescent="0.25">
      <c r="A90" s="279"/>
      <c r="B90" s="425" t="s">
        <v>284</v>
      </c>
      <c r="C90" s="390">
        <v>7</v>
      </c>
      <c r="D90" s="391">
        <v>34</v>
      </c>
      <c r="E90" s="453">
        <f t="shared" si="1"/>
        <v>238</v>
      </c>
    </row>
    <row r="91" spans="1:5" ht="37.5" customHeight="1" x14ac:dyDescent="0.25">
      <c r="A91" s="279"/>
      <c r="B91" s="425" t="s">
        <v>285</v>
      </c>
      <c r="C91" s="390">
        <v>1</v>
      </c>
      <c r="D91" s="391">
        <v>847</v>
      </c>
      <c r="E91" s="453">
        <f t="shared" si="1"/>
        <v>847</v>
      </c>
    </row>
    <row r="92" spans="1:5" ht="37.5" customHeight="1" x14ac:dyDescent="0.25">
      <c r="A92" s="279"/>
      <c r="B92" s="425" t="s">
        <v>286</v>
      </c>
      <c r="C92" s="390">
        <v>1</v>
      </c>
      <c r="D92" s="391">
        <v>140</v>
      </c>
      <c r="E92" s="453">
        <f t="shared" si="1"/>
        <v>140</v>
      </c>
    </row>
    <row r="93" spans="1:5" ht="37.5" customHeight="1" x14ac:dyDescent="0.25">
      <c r="A93" s="279"/>
      <c r="B93" s="425" t="s">
        <v>287</v>
      </c>
      <c r="C93" s="390">
        <v>1</v>
      </c>
      <c r="D93" s="391">
        <v>554</v>
      </c>
      <c r="E93" s="453">
        <f t="shared" si="1"/>
        <v>554</v>
      </c>
    </row>
    <row r="94" spans="1:5" ht="37.5" customHeight="1" x14ac:dyDescent="0.25">
      <c r="A94" s="279"/>
      <c r="B94" s="425" t="s">
        <v>288</v>
      </c>
      <c r="C94" s="390">
        <v>10</v>
      </c>
      <c r="D94" s="391">
        <v>180</v>
      </c>
      <c r="E94" s="453">
        <f t="shared" si="1"/>
        <v>1800</v>
      </c>
    </row>
    <row r="95" spans="1:5" ht="37.5" customHeight="1" x14ac:dyDescent="0.25">
      <c r="A95" s="279"/>
      <c r="B95" s="425" t="s">
        <v>388</v>
      </c>
      <c r="C95" s="390">
        <v>1</v>
      </c>
      <c r="D95" s="391">
        <v>2362</v>
      </c>
      <c r="E95" s="453">
        <f t="shared" si="1"/>
        <v>2362</v>
      </c>
    </row>
    <row r="96" spans="1:5" ht="37.5" customHeight="1" x14ac:dyDescent="0.25">
      <c r="A96" s="279"/>
      <c r="B96" s="425" t="s">
        <v>389</v>
      </c>
      <c r="C96" s="390">
        <v>1</v>
      </c>
      <c r="D96" s="391">
        <v>2048</v>
      </c>
      <c r="E96" s="453">
        <f t="shared" si="1"/>
        <v>2048</v>
      </c>
    </row>
    <row r="97" spans="1:5" ht="37.5" customHeight="1" x14ac:dyDescent="0.25">
      <c r="A97" s="279"/>
      <c r="B97" s="425" t="s">
        <v>390</v>
      </c>
      <c r="C97" s="390">
        <v>1</v>
      </c>
      <c r="D97" s="391">
        <v>142</v>
      </c>
      <c r="E97" s="453">
        <f t="shared" si="1"/>
        <v>142</v>
      </c>
    </row>
    <row r="98" spans="1:5" ht="37.5" customHeight="1" x14ac:dyDescent="0.25">
      <c r="A98" s="279"/>
      <c r="B98" s="425" t="s">
        <v>391</v>
      </c>
      <c r="C98" s="390">
        <v>1</v>
      </c>
      <c r="D98" s="391">
        <v>370</v>
      </c>
      <c r="E98" s="453">
        <f t="shared" si="1"/>
        <v>370</v>
      </c>
    </row>
    <row r="99" spans="1:5" ht="37.5" customHeight="1" x14ac:dyDescent="0.25">
      <c r="A99" s="279"/>
      <c r="B99" s="425" t="s">
        <v>392</v>
      </c>
      <c r="C99" s="390">
        <v>1</v>
      </c>
      <c r="D99" s="391">
        <v>77</v>
      </c>
      <c r="E99" s="453">
        <f t="shared" si="1"/>
        <v>77</v>
      </c>
    </row>
    <row r="100" spans="1:5" ht="37.5" customHeight="1" x14ac:dyDescent="0.25">
      <c r="A100" s="279"/>
      <c r="B100" s="425" t="s">
        <v>393</v>
      </c>
      <c r="C100" s="390">
        <v>9</v>
      </c>
      <c r="D100" s="391">
        <v>35</v>
      </c>
      <c r="E100" s="453">
        <f t="shared" si="1"/>
        <v>315</v>
      </c>
    </row>
    <row r="101" spans="1:5" ht="37.5" customHeight="1" x14ac:dyDescent="0.25">
      <c r="A101" s="279"/>
      <c r="B101" s="425" t="s">
        <v>394</v>
      </c>
      <c r="C101" s="390">
        <v>1</v>
      </c>
      <c r="D101" s="391">
        <v>213</v>
      </c>
      <c r="E101" s="453">
        <f t="shared" si="1"/>
        <v>213</v>
      </c>
    </row>
    <row r="102" spans="1:5" ht="37.5" customHeight="1" x14ac:dyDescent="0.25">
      <c r="A102" s="279"/>
      <c r="B102" s="425" t="s">
        <v>395</v>
      </c>
      <c r="C102" s="390">
        <v>3</v>
      </c>
      <c r="D102" s="391">
        <v>205</v>
      </c>
      <c r="E102" s="453">
        <f t="shared" si="1"/>
        <v>615</v>
      </c>
    </row>
    <row r="103" spans="1:5" ht="37.5" customHeight="1" x14ac:dyDescent="0.25">
      <c r="A103" s="279"/>
      <c r="B103" s="425" t="s">
        <v>396</v>
      </c>
      <c r="C103" s="390">
        <v>1</v>
      </c>
      <c r="D103" s="391">
        <v>3534</v>
      </c>
      <c r="E103" s="453">
        <f t="shared" si="1"/>
        <v>3534</v>
      </c>
    </row>
    <row r="104" spans="1:5" ht="37.5" customHeight="1" x14ac:dyDescent="0.25">
      <c r="A104" s="279"/>
      <c r="B104" s="425" t="s">
        <v>397</v>
      </c>
      <c r="C104" s="390">
        <v>1</v>
      </c>
      <c r="D104" s="391">
        <v>583</v>
      </c>
      <c r="E104" s="453">
        <f t="shared" si="1"/>
        <v>583</v>
      </c>
    </row>
    <row r="105" spans="1:5" ht="37.5" customHeight="1" x14ac:dyDescent="0.25">
      <c r="A105" s="279"/>
      <c r="B105" s="425" t="s">
        <v>398</v>
      </c>
      <c r="C105" s="390">
        <v>1</v>
      </c>
      <c r="D105" s="391">
        <v>122</v>
      </c>
      <c r="E105" s="453">
        <f t="shared" si="1"/>
        <v>122</v>
      </c>
    </row>
    <row r="106" spans="1:5" ht="37.5" customHeight="1" x14ac:dyDescent="0.25">
      <c r="A106" s="279"/>
      <c r="B106" s="425" t="s">
        <v>399</v>
      </c>
      <c r="C106" s="390">
        <v>1</v>
      </c>
      <c r="D106" s="391">
        <v>130</v>
      </c>
      <c r="E106" s="453">
        <f t="shared" si="1"/>
        <v>130</v>
      </c>
    </row>
    <row r="107" spans="1:5" ht="37.5" customHeight="1" x14ac:dyDescent="0.25">
      <c r="A107" s="279"/>
      <c r="B107" s="425" t="s">
        <v>400</v>
      </c>
      <c r="C107" s="390">
        <v>6</v>
      </c>
      <c r="D107" s="391">
        <v>110</v>
      </c>
      <c r="E107" s="453">
        <f t="shared" si="1"/>
        <v>660</v>
      </c>
    </row>
    <row r="108" spans="1:5" ht="37.5" customHeight="1" x14ac:dyDescent="0.25">
      <c r="A108" s="279"/>
      <c r="B108" s="425" t="s">
        <v>401</v>
      </c>
      <c r="C108" s="390">
        <v>4</v>
      </c>
      <c r="D108" s="391">
        <v>652</v>
      </c>
      <c r="E108" s="453">
        <f t="shared" si="1"/>
        <v>2608</v>
      </c>
    </row>
    <row r="109" spans="1:5" ht="37.5" customHeight="1" x14ac:dyDescent="0.25">
      <c r="A109" s="279"/>
      <c r="B109" s="425" t="s">
        <v>402</v>
      </c>
      <c r="C109" s="390">
        <v>2</v>
      </c>
      <c r="D109" s="391">
        <v>406</v>
      </c>
      <c r="E109" s="453">
        <f t="shared" si="1"/>
        <v>812</v>
      </c>
    </row>
    <row r="110" spans="1:5" ht="37.5" customHeight="1" x14ac:dyDescent="0.25">
      <c r="A110" s="279"/>
      <c r="B110" s="425" t="s">
        <v>403</v>
      </c>
      <c r="C110" s="390">
        <v>2</v>
      </c>
      <c r="D110" s="391">
        <v>625</v>
      </c>
      <c r="E110" s="453">
        <f t="shared" ref="E110:E173" si="2">C110*D110</f>
        <v>1250</v>
      </c>
    </row>
    <row r="111" spans="1:5" ht="37.5" customHeight="1" x14ac:dyDescent="0.25">
      <c r="A111" s="279"/>
      <c r="B111" s="425" t="s">
        <v>404</v>
      </c>
      <c r="C111" s="390">
        <v>1</v>
      </c>
      <c r="D111" s="391">
        <v>262</v>
      </c>
      <c r="E111" s="453">
        <f t="shared" si="2"/>
        <v>262</v>
      </c>
    </row>
    <row r="112" spans="1:5" ht="37.5" customHeight="1" x14ac:dyDescent="0.25">
      <c r="A112" s="279"/>
      <c r="B112" s="425" t="s">
        <v>405</v>
      </c>
      <c r="C112" s="390">
        <v>1</v>
      </c>
      <c r="D112" s="391">
        <v>220</v>
      </c>
      <c r="E112" s="453">
        <f t="shared" si="2"/>
        <v>220</v>
      </c>
    </row>
    <row r="113" spans="1:5" s="486" customFormat="1" ht="37.5" customHeight="1" x14ac:dyDescent="0.25">
      <c r="A113" s="481"/>
      <c r="B113" s="482" t="s">
        <v>406</v>
      </c>
      <c r="C113" s="483">
        <v>2</v>
      </c>
      <c r="D113" s="484">
        <v>39</v>
      </c>
      <c r="E113" s="485">
        <f t="shared" si="2"/>
        <v>78</v>
      </c>
    </row>
    <row r="114" spans="1:5" ht="37.5" customHeight="1" x14ac:dyDescent="0.25">
      <c r="A114" s="279"/>
      <c r="B114" s="425" t="s">
        <v>407</v>
      </c>
      <c r="C114" s="390">
        <v>1</v>
      </c>
      <c r="D114" s="391">
        <v>380</v>
      </c>
      <c r="E114" s="453">
        <f t="shared" si="2"/>
        <v>380</v>
      </c>
    </row>
    <row r="115" spans="1:5" ht="37.5" customHeight="1" x14ac:dyDescent="0.25">
      <c r="A115" s="279"/>
      <c r="B115" s="425" t="s">
        <v>408</v>
      </c>
      <c r="C115" s="390">
        <v>2</v>
      </c>
      <c r="D115" s="391">
        <v>671</v>
      </c>
      <c r="E115" s="453">
        <f t="shared" si="2"/>
        <v>1342</v>
      </c>
    </row>
    <row r="116" spans="1:5" ht="37.5" customHeight="1" x14ac:dyDescent="0.25">
      <c r="A116" s="279"/>
      <c r="B116" s="425" t="s">
        <v>409</v>
      </c>
      <c r="C116" s="390">
        <v>1</v>
      </c>
      <c r="D116" s="391">
        <v>2880</v>
      </c>
      <c r="E116" s="453">
        <f t="shared" si="2"/>
        <v>2880</v>
      </c>
    </row>
    <row r="117" spans="1:5" ht="37.5" customHeight="1" x14ac:dyDescent="0.25">
      <c r="A117" s="279"/>
      <c r="B117" s="425" t="s">
        <v>410</v>
      </c>
      <c r="C117" s="390">
        <v>1</v>
      </c>
      <c r="D117" s="391">
        <v>2480</v>
      </c>
      <c r="E117" s="453">
        <f t="shared" si="2"/>
        <v>2480</v>
      </c>
    </row>
    <row r="118" spans="1:5" ht="37.5" customHeight="1" x14ac:dyDescent="0.25">
      <c r="A118" s="279"/>
      <c r="B118" s="425" t="s">
        <v>411</v>
      </c>
      <c r="C118" s="390">
        <v>2</v>
      </c>
      <c r="D118" s="391">
        <v>180</v>
      </c>
      <c r="E118" s="453">
        <f t="shared" si="2"/>
        <v>360</v>
      </c>
    </row>
    <row r="119" spans="1:5" ht="37.5" customHeight="1" x14ac:dyDescent="0.25">
      <c r="A119" s="279"/>
      <c r="B119" s="425" t="s">
        <v>412</v>
      </c>
      <c r="C119" s="390">
        <v>5</v>
      </c>
      <c r="D119" s="391">
        <v>180</v>
      </c>
      <c r="E119" s="453">
        <f t="shared" si="2"/>
        <v>900</v>
      </c>
    </row>
    <row r="120" spans="1:5" ht="37.5" customHeight="1" x14ac:dyDescent="0.25">
      <c r="A120" s="279"/>
      <c r="B120" s="425" t="s">
        <v>413</v>
      </c>
      <c r="C120" s="390">
        <v>1</v>
      </c>
      <c r="D120" s="391">
        <v>1291</v>
      </c>
      <c r="E120" s="453">
        <f t="shared" si="2"/>
        <v>1291</v>
      </c>
    </row>
    <row r="121" spans="1:5" ht="37.5" customHeight="1" x14ac:dyDescent="0.25">
      <c r="A121" s="279"/>
      <c r="B121" s="425" t="s">
        <v>414</v>
      </c>
      <c r="C121" s="390">
        <v>1</v>
      </c>
      <c r="D121" s="391">
        <v>162.4</v>
      </c>
      <c r="E121" s="453">
        <f t="shared" si="2"/>
        <v>162.4</v>
      </c>
    </row>
    <row r="122" spans="1:5" ht="37.5" customHeight="1" x14ac:dyDescent="0.25">
      <c r="A122" s="279"/>
      <c r="B122" s="425" t="s">
        <v>415</v>
      </c>
      <c r="C122" s="390">
        <v>3</v>
      </c>
      <c r="D122" s="391">
        <v>100</v>
      </c>
      <c r="E122" s="453">
        <f t="shared" si="2"/>
        <v>300</v>
      </c>
    </row>
    <row r="123" spans="1:5" ht="37.5" customHeight="1" x14ac:dyDescent="0.25">
      <c r="A123" s="279"/>
      <c r="B123" s="425" t="s">
        <v>416</v>
      </c>
      <c r="C123" s="390">
        <v>1</v>
      </c>
      <c r="D123" s="391">
        <v>212</v>
      </c>
      <c r="E123" s="453">
        <f t="shared" si="2"/>
        <v>212</v>
      </c>
    </row>
    <row r="124" spans="1:5" ht="37.5" customHeight="1" x14ac:dyDescent="0.25">
      <c r="A124" s="279"/>
      <c r="B124" s="425" t="s">
        <v>417</v>
      </c>
      <c r="C124" s="390">
        <v>10</v>
      </c>
      <c r="D124" s="391">
        <v>775</v>
      </c>
      <c r="E124" s="453">
        <f t="shared" si="2"/>
        <v>7750</v>
      </c>
    </row>
    <row r="125" spans="1:5" ht="37.5" customHeight="1" x14ac:dyDescent="0.25">
      <c r="A125" s="279"/>
      <c r="B125" s="425" t="s">
        <v>418</v>
      </c>
      <c r="C125" s="390">
        <v>2</v>
      </c>
      <c r="D125" s="391">
        <v>1100</v>
      </c>
      <c r="E125" s="453">
        <f t="shared" si="2"/>
        <v>2200</v>
      </c>
    </row>
    <row r="126" spans="1:5" ht="37.5" customHeight="1" x14ac:dyDescent="0.25">
      <c r="A126" s="279"/>
      <c r="B126" s="425" t="s">
        <v>419</v>
      </c>
      <c r="C126" s="390">
        <v>2</v>
      </c>
      <c r="D126" s="391">
        <v>680</v>
      </c>
      <c r="E126" s="453">
        <f t="shared" si="2"/>
        <v>1360</v>
      </c>
    </row>
    <row r="127" spans="1:5" ht="37.5" customHeight="1" x14ac:dyDescent="0.25">
      <c r="A127" s="279"/>
      <c r="B127" s="425" t="s">
        <v>420</v>
      </c>
      <c r="C127" s="390">
        <v>20</v>
      </c>
      <c r="D127" s="391">
        <v>13</v>
      </c>
      <c r="E127" s="453">
        <f t="shared" si="2"/>
        <v>260</v>
      </c>
    </row>
    <row r="128" spans="1:5" ht="37.5" customHeight="1" x14ac:dyDescent="0.25">
      <c r="A128" s="279"/>
      <c r="B128" s="425" t="s">
        <v>421</v>
      </c>
      <c r="C128" s="390">
        <v>2</v>
      </c>
      <c r="D128" s="391">
        <v>26</v>
      </c>
      <c r="E128" s="453">
        <f t="shared" si="2"/>
        <v>52</v>
      </c>
    </row>
    <row r="129" spans="1:5" ht="37.5" customHeight="1" x14ac:dyDescent="0.25">
      <c r="A129" s="279"/>
      <c r="B129" s="425" t="s">
        <v>422</v>
      </c>
      <c r="C129" s="390">
        <v>2</v>
      </c>
      <c r="D129" s="391">
        <v>8</v>
      </c>
      <c r="E129" s="453">
        <f t="shared" si="2"/>
        <v>16</v>
      </c>
    </row>
    <row r="130" spans="1:5" ht="37.5" customHeight="1" x14ac:dyDescent="0.25">
      <c r="A130" s="279"/>
      <c r="B130" s="425" t="s">
        <v>423</v>
      </c>
      <c r="C130" s="390">
        <v>1</v>
      </c>
      <c r="D130" s="391">
        <v>3837</v>
      </c>
      <c r="E130" s="453">
        <f t="shared" si="2"/>
        <v>3837</v>
      </c>
    </row>
    <row r="131" spans="1:5" ht="37.5" customHeight="1" x14ac:dyDescent="0.25">
      <c r="A131" s="279"/>
      <c r="B131" s="425" t="s">
        <v>424</v>
      </c>
      <c r="C131" s="390">
        <v>5</v>
      </c>
      <c r="D131" s="391">
        <v>110</v>
      </c>
      <c r="E131" s="453">
        <f t="shared" si="2"/>
        <v>550</v>
      </c>
    </row>
    <row r="132" spans="1:5" ht="37.5" customHeight="1" x14ac:dyDescent="0.25">
      <c r="A132" s="279"/>
      <c r="B132" s="425" t="s">
        <v>425</v>
      </c>
      <c r="C132" s="390">
        <v>6</v>
      </c>
      <c r="D132" s="391">
        <v>54</v>
      </c>
      <c r="E132" s="453">
        <f t="shared" si="2"/>
        <v>324</v>
      </c>
    </row>
    <row r="133" spans="1:5" s="486" customFormat="1" ht="37.5" customHeight="1" x14ac:dyDescent="0.25">
      <c r="A133" s="481"/>
      <c r="B133" s="482" t="s">
        <v>426</v>
      </c>
      <c r="C133" s="483">
        <v>1</v>
      </c>
      <c r="D133" s="484">
        <v>232</v>
      </c>
      <c r="E133" s="485">
        <f t="shared" si="2"/>
        <v>232</v>
      </c>
    </row>
    <row r="134" spans="1:5" ht="37.5" customHeight="1" x14ac:dyDescent="0.25">
      <c r="A134" s="279"/>
      <c r="B134" s="425" t="s">
        <v>427</v>
      </c>
      <c r="C134" s="390">
        <v>2</v>
      </c>
      <c r="D134" s="391">
        <v>400</v>
      </c>
      <c r="E134" s="453">
        <f t="shared" si="2"/>
        <v>800</v>
      </c>
    </row>
    <row r="135" spans="1:5" ht="37.5" customHeight="1" x14ac:dyDescent="0.25">
      <c r="A135" s="279"/>
      <c r="B135" s="425" t="s">
        <v>428</v>
      </c>
      <c r="C135" s="390">
        <v>1</v>
      </c>
      <c r="D135" s="391">
        <v>380</v>
      </c>
      <c r="E135" s="453">
        <f t="shared" si="2"/>
        <v>380</v>
      </c>
    </row>
    <row r="136" spans="1:5" ht="37.5" customHeight="1" x14ac:dyDescent="0.25">
      <c r="A136" s="279"/>
      <c r="B136" s="425" t="s">
        <v>429</v>
      </c>
      <c r="C136" s="390">
        <v>1</v>
      </c>
      <c r="D136" s="391">
        <v>175</v>
      </c>
      <c r="E136" s="453">
        <f t="shared" si="2"/>
        <v>175</v>
      </c>
    </row>
    <row r="137" spans="1:5" ht="37.5" customHeight="1" x14ac:dyDescent="0.25">
      <c r="A137" s="279"/>
      <c r="B137" s="425" t="s">
        <v>430</v>
      </c>
      <c r="C137" s="390">
        <v>1</v>
      </c>
      <c r="D137" s="391">
        <v>175</v>
      </c>
      <c r="E137" s="453">
        <f t="shared" si="2"/>
        <v>175</v>
      </c>
    </row>
    <row r="138" spans="1:5" ht="37.5" customHeight="1" x14ac:dyDescent="0.25">
      <c r="A138" s="279"/>
      <c r="B138" s="425" t="s">
        <v>431</v>
      </c>
      <c r="C138" s="390">
        <v>16</v>
      </c>
      <c r="D138" s="391">
        <v>980</v>
      </c>
      <c r="E138" s="453">
        <f t="shared" si="2"/>
        <v>15680</v>
      </c>
    </row>
    <row r="139" spans="1:5" ht="37.5" customHeight="1" x14ac:dyDescent="0.25">
      <c r="A139" s="279"/>
      <c r="B139" s="425" t="s">
        <v>432</v>
      </c>
      <c r="C139" s="390">
        <v>1</v>
      </c>
      <c r="D139" s="391">
        <v>382</v>
      </c>
      <c r="E139" s="453">
        <f t="shared" si="2"/>
        <v>382</v>
      </c>
    </row>
    <row r="140" spans="1:5" ht="37.5" customHeight="1" x14ac:dyDescent="0.25">
      <c r="A140" s="279"/>
      <c r="B140" s="425" t="s">
        <v>433</v>
      </c>
      <c r="C140" s="390">
        <v>1</v>
      </c>
      <c r="D140" s="391">
        <v>159</v>
      </c>
      <c r="E140" s="453">
        <f t="shared" si="2"/>
        <v>159</v>
      </c>
    </row>
    <row r="141" spans="1:5" ht="37.5" customHeight="1" x14ac:dyDescent="0.25">
      <c r="A141" s="279"/>
      <c r="B141" s="425" t="s">
        <v>434</v>
      </c>
      <c r="C141" s="390">
        <v>2</v>
      </c>
      <c r="D141" s="391">
        <v>36</v>
      </c>
      <c r="E141" s="453">
        <f t="shared" si="2"/>
        <v>72</v>
      </c>
    </row>
    <row r="142" spans="1:5" ht="37.5" customHeight="1" x14ac:dyDescent="0.25">
      <c r="A142" s="279"/>
      <c r="B142" s="425" t="s">
        <v>435</v>
      </c>
      <c r="C142" s="390">
        <v>8</v>
      </c>
      <c r="D142" s="391">
        <v>26</v>
      </c>
      <c r="E142" s="453">
        <f t="shared" si="2"/>
        <v>208</v>
      </c>
    </row>
    <row r="143" spans="1:5" ht="37.5" customHeight="1" x14ac:dyDescent="0.25">
      <c r="A143" s="279"/>
      <c r="B143" s="425" t="s">
        <v>436</v>
      </c>
      <c r="C143" s="390">
        <v>8</v>
      </c>
      <c r="D143" s="391">
        <v>22</v>
      </c>
      <c r="E143" s="453">
        <f t="shared" si="2"/>
        <v>176</v>
      </c>
    </row>
    <row r="144" spans="1:5" ht="37.5" customHeight="1" x14ac:dyDescent="0.25">
      <c r="A144" s="279"/>
      <c r="B144" s="425" t="s">
        <v>437</v>
      </c>
      <c r="C144" s="390">
        <v>2</v>
      </c>
      <c r="D144" s="391">
        <v>32</v>
      </c>
      <c r="E144" s="453">
        <f t="shared" si="2"/>
        <v>64</v>
      </c>
    </row>
    <row r="145" spans="1:5" ht="37.5" customHeight="1" x14ac:dyDescent="0.25">
      <c r="A145" s="279"/>
      <c r="B145" s="425" t="s">
        <v>438</v>
      </c>
      <c r="C145" s="390">
        <v>4</v>
      </c>
      <c r="D145" s="391">
        <v>1475</v>
      </c>
      <c r="E145" s="453">
        <f t="shared" si="2"/>
        <v>5900</v>
      </c>
    </row>
    <row r="146" spans="1:5" ht="37.5" customHeight="1" x14ac:dyDescent="0.25">
      <c r="A146" s="279"/>
      <c r="B146" s="425" t="s">
        <v>439</v>
      </c>
      <c r="C146" s="390">
        <v>2</v>
      </c>
      <c r="D146" s="391">
        <v>2355</v>
      </c>
      <c r="E146" s="453">
        <f t="shared" si="2"/>
        <v>4710</v>
      </c>
    </row>
    <row r="147" spans="1:5" ht="37.5" customHeight="1" x14ac:dyDescent="0.25">
      <c r="A147" s="279"/>
      <c r="B147" s="425" t="s">
        <v>440</v>
      </c>
      <c r="C147" s="390">
        <v>10</v>
      </c>
      <c r="D147" s="391">
        <v>25</v>
      </c>
      <c r="E147" s="453">
        <f t="shared" si="2"/>
        <v>250</v>
      </c>
    </row>
    <row r="148" spans="1:5" ht="37.5" customHeight="1" x14ac:dyDescent="0.25">
      <c r="A148" s="279"/>
      <c r="B148" s="425" t="s">
        <v>418</v>
      </c>
      <c r="C148" s="390">
        <v>1</v>
      </c>
      <c r="D148" s="391">
        <v>1100</v>
      </c>
      <c r="E148" s="453">
        <f t="shared" si="2"/>
        <v>1100</v>
      </c>
    </row>
    <row r="149" spans="1:5" ht="37.5" customHeight="1" x14ac:dyDescent="0.25">
      <c r="A149" s="279"/>
      <c r="B149" s="425" t="s">
        <v>441</v>
      </c>
      <c r="C149" s="390">
        <v>4</v>
      </c>
      <c r="D149" s="391">
        <v>416</v>
      </c>
      <c r="E149" s="453">
        <f t="shared" si="2"/>
        <v>1664</v>
      </c>
    </row>
    <row r="150" spans="1:5" ht="37.5" customHeight="1" x14ac:dyDescent="0.25">
      <c r="A150" s="279"/>
      <c r="B150" s="425" t="s">
        <v>442</v>
      </c>
      <c r="C150" s="390">
        <v>1</v>
      </c>
      <c r="D150" s="391">
        <v>309</v>
      </c>
      <c r="E150" s="453">
        <f t="shared" si="2"/>
        <v>309</v>
      </c>
    </row>
    <row r="151" spans="1:5" ht="37.5" customHeight="1" x14ac:dyDescent="0.25">
      <c r="A151" s="279"/>
      <c r="B151" s="425" t="s">
        <v>443</v>
      </c>
      <c r="C151" s="390">
        <v>6</v>
      </c>
      <c r="D151" s="391">
        <v>245</v>
      </c>
      <c r="E151" s="453">
        <f t="shared" si="2"/>
        <v>1470</v>
      </c>
    </row>
    <row r="152" spans="1:5" ht="37.5" customHeight="1" x14ac:dyDescent="0.25">
      <c r="A152" s="279"/>
      <c r="B152" s="425" t="s">
        <v>443</v>
      </c>
      <c r="C152" s="390">
        <v>3</v>
      </c>
      <c r="D152" s="391">
        <v>240</v>
      </c>
      <c r="E152" s="453">
        <f t="shared" si="2"/>
        <v>720</v>
      </c>
    </row>
    <row r="153" spans="1:5" s="486" customFormat="1" ht="37.5" customHeight="1" x14ac:dyDescent="0.25">
      <c r="A153" s="481"/>
      <c r="B153" s="482" t="s">
        <v>444</v>
      </c>
      <c r="C153" s="483">
        <v>1</v>
      </c>
      <c r="D153" s="484">
        <v>465</v>
      </c>
      <c r="E153" s="485">
        <f t="shared" si="2"/>
        <v>465</v>
      </c>
    </row>
    <row r="154" spans="1:5" ht="37.5" customHeight="1" x14ac:dyDescent="0.25">
      <c r="A154" s="279"/>
      <c r="B154" s="425" t="s">
        <v>445</v>
      </c>
      <c r="C154" s="390">
        <v>1</v>
      </c>
      <c r="D154" s="391">
        <v>2100</v>
      </c>
      <c r="E154" s="453">
        <f t="shared" si="2"/>
        <v>2100</v>
      </c>
    </row>
    <row r="155" spans="1:5" ht="37.5" customHeight="1" x14ac:dyDescent="0.25">
      <c r="A155" s="279"/>
      <c r="B155" s="425" t="s">
        <v>446</v>
      </c>
      <c r="C155" s="390">
        <v>4</v>
      </c>
      <c r="D155" s="391">
        <v>561</v>
      </c>
      <c r="E155" s="453">
        <f t="shared" si="2"/>
        <v>2244</v>
      </c>
    </row>
    <row r="156" spans="1:5" ht="37.5" customHeight="1" x14ac:dyDescent="0.25">
      <c r="A156" s="279"/>
      <c r="B156" s="425" t="s">
        <v>447</v>
      </c>
      <c r="C156" s="390">
        <v>2</v>
      </c>
      <c r="D156" s="391">
        <v>395</v>
      </c>
      <c r="E156" s="453">
        <f t="shared" si="2"/>
        <v>790</v>
      </c>
    </row>
    <row r="157" spans="1:5" ht="37.5" customHeight="1" x14ac:dyDescent="0.25">
      <c r="A157" s="279"/>
      <c r="B157" s="469" t="s">
        <v>448</v>
      </c>
      <c r="C157" s="475">
        <v>1</v>
      </c>
      <c r="D157" s="479">
        <v>50</v>
      </c>
      <c r="E157" s="453">
        <f t="shared" si="2"/>
        <v>50</v>
      </c>
    </row>
    <row r="158" spans="1:5" ht="37.5" customHeight="1" x14ac:dyDescent="0.25">
      <c r="A158" s="279"/>
      <c r="B158" s="469" t="s">
        <v>449</v>
      </c>
      <c r="C158" s="390">
        <v>1</v>
      </c>
      <c r="D158" s="391">
        <v>40</v>
      </c>
      <c r="E158" s="453">
        <f t="shared" si="2"/>
        <v>40</v>
      </c>
    </row>
    <row r="159" spans="1:5" ht="37.5" customHeight="1" x14ac:dyDescent="0.25">
      <c r="A159" s="279"/>
      <c r="B159" s="425" t="s">
        <v>450</v>
      </c>
      <c r="C159" s="390">
        <v>50</v>
      </c>
      <c r="D159" s="391">
        <v>1</v>
      </c>
      <c r="E159" s="453">
        <f t="shared" si="2"/>
        <v>50</v>
      </c>
    </row>
    <row r="160" spans="1:5" ht="37.5" customHeight="1" x14ac:dyDescent="0.25">
      <c r="A160" s="279"/>
      <c r="B160" s="469" t="s">
        <v>451</v>
      </c>
      <c r="C160" s="475">
        <v>1</v>
      </c>
      <c r="D160" s="479">
        <v>468</v>
      </c>
      <c r="E160" s="453">
        <f t="shared" si="2"/>
        <v>468</v>
      </c>
    </row>
    <row r="161" spans="1:5" ht="37.5" customHeight="1" x14ac:dyDescent="0.25">
      <c r="A161" s="279"/>
      <c r="B161" s="469" t="s">
        <v>452</v>
      </c>
      <c r="C161" s="390">
        <v>1</v>
      </c>
      <c r="D161" s="391">
        <v>230</v>
      </c>
      <c r="E161" s="453">
        <f t="shared" si="2"/>
        <v>230</v>
      </c>
    </row>
    <row r="162" spans="1:5" ht="37.5" customHeight="1" x14ac:dyDescent="0.25">
      <c r="A162" s="279"/>
      <c r="B162" s="469" t="s">
        <v>453</v>
      </c>
      <c r="C162" s="390">
        <v>4</v>
      </c>
      <c r="D162" s="391">
        <v>40</v>
      </c>
      <c r="E162" s="453">
        <f t="shared" si="2"/>
        <v>160</v>
      </c>
    </row>
    <row r="163" spans="1:5" ht="37.5" customHeight="1" x14ac:dyDescent="0.25">
      <c r="A163" s="279"/>
      <c r="B163" s="469" t="s">
        <v>454</v>
      </c>
      <c r="C163" s="475">
        <v>2</v>
      </c>
      <c r="D163" s="479">
        <v>184</v>
      </c>
      <c r="E163" s="453">
        <f t="shared" si="2"/>
        <v>368</v>
      </c>
    </row>
    <row r="164" spans="1:5" ht="37.5" customHeight="1" x14ac:dyDescent="0.25">
      <c r="A164" s="279"/>
      <c r="B164" s="469" t="s">
        <v>413</v>
      </c>
      <c r="C164" s="475">
        <v>1</v>
      </c>
      <c r="D164" s="479">
        <v>455</v>
      </c>
      <c r="E164" s="453">
        <f t="shared" si="2"/>
        <v>455</v>
      </c>
    </row>
    <row r="165" spans="1:5" ht="37.5" customHeight="1" x14ac:dyDescent="0.25">
      <c r="A165" s="279"/>
      <c r="B165" s="425" t="s">
        <v>411</v>
      </c>
      <c r="C165" s="390">
        <v>1</v>
      </c>
      <c r="D165" s="391">
        <v>180</v>
      </c>
      <c r="E165" s="453">
        <f t="shared" si="2"/>
        <v>180</v>
      </c>
    </row>
    <row r="166" spans="1:5" ht="37.5" customHeight="1" x14ac:dyDescent="0.25">
      <c r="A166" s="279"/>
      <c r="B166" s="425" t="s">
        <v>455</v>
      </c>
      <c r="C166" s="390">
        <v>3</v>
      </c>
      <c r="D166" s="391">
        <v>259</v>
      </c>
      <c r="E166" s="453">
        <f t="shared" si="2"/>
        <v>777</v>
      </c>
    </row>
    <row r="167" spans="1:5" ht="37.5" customHeight="1" x14ac:dyDescent="0.25">
      <c r="A167" s="279"/>
      <c r="B167" s="425" t="s">
        <v>456</v>
      </c>
      <c r="C167" s="390">
        <v>2</v>
      </c>
      <c r="D167" s="391">
        <v>288</v>
      </c>
      <c r="E167" s="453">
        <f t="shared" si="2"/>
        <v>576</v>
      </c>
    </row>
    <row r="168" spans="1:5" ht="37.5" customHeight="1" x14ac:dyDescent="0.25">
      <c r="A168" s="279"/>
      <c r="B168" s="425" t="s">
        <v>457</v>
      </c>
      <c r="C168" s="390">
        <v>20</v>
      </c>
      <c r="D168" s="391">
        <v>14.4</v>
      </c>
      <c r="E168" s="453">
        <f t="shared" si="2"/>
        <v>288</v>
      </c>
    </row>
    <row r="169" spans="1:5" ht="37.5" customHeight="1" x14ac:dyDescent="0.25">
      <c r="A169" s="279"/>
      <c r="B169" s="425" t="s">
        <v>458</v>
      </c>
      <c r="C169" s="390">
        <v>10</v>
      </c>
      <c r="D169" s="391">
        <v>18</v>
      </c>
      <c r="E169" s="453">
        <f t="shared" si="2"/>
        <v>180</v>
      </c>
    </row>
    <row r="170" spans="1:5" ht="37.5" customHeight="1" x14ac:dyDescent="0.25">
      <c r="A170" s="279"/>
      <c r="B170" s="425" t="s">
        <v>459</v>
      </c>
      <c r="C170" s="390">
        <v>91</v>
      </c>
      <c r="D170" s="391">
        <v>10</v>
      </c>
      <c r="E170" s="453">
        <f t="shared" si="2"/>
        <v>910</v>
      </c>
    </row>
    <row r="171" spans="1:5" ht="37.5" customHeight="1" x14ac:dyDescent="0.25">
      <c r="A171" s="279"/>
      <c r="B171" s="425" t="s">
        <v>460</v>
      </c>
      <c r="C171" s="390">
        <v>91</v>
      </c>
      <c r="D171" s="391">
        <v>2.5</v>
      </c>
      <c r="E171" s="453">
        <f t="shared" si="2"/>
        <v>227.5</v>
      </c>
    </row>
    <row r="172" spans="1:5" ht="37.5" customHeight="1" x14ac:dyDescent="0.25">
      <c r="A172" s="279"/>
      <c r="B172" s="425" t="s">
        <v>461</v>
      </c>
      <c r="C172" s="390">
        <v>180</v>
      </c>
      <c r="D172" s="391">
        <v>2.5</v>
      </c>
      <c r="E172" s="453">
        <f t="shared" si="2"/>
        <v>450</v>
      </c>
    </row>
    <row r="173" spans="1:5" ht="37.5" customHeight="1" x14ac:dyDescent="0.25">
      <c r="A173" s="279"/>
      <c r="B173" s="425" t="s">
        <v>462</v>
      </c>
      <c r="C173" s="390">
        <v>1</v>
      </c>
      <c r="D173" s="391">
        <v>320</v>
      </c>
      <c r="E173" s="453">
        <f t="shared" si="2"/>
        <v>320</v>
      </c>
    </row>
    <row r="174" spans="1:5" ht="37.5" customHeight="1" x14ac:dyDescent="0.25">
      <c r="A174" s="279"/>
      <c r="B174" s="425" t="s">
        <v>463</v>
      </c>
      <c r="C174" s="390">
        <v>174</v>
      </c>
      <c r="D174" s="391">
        <v>3</v>
      </c>
      <c r="E174" s="453">
        <f t="shared" ref="E174:E221" si="3">C174*D174</f>
        <v>522</v>
      </c>
    </row>
    <row r="175" spans="1:5" ht="37.5" customHeight="1" x14ac:dyDescent="0.25">
      <c r="B175" s="425" t="s">
        <v>464</v>
      </c>
      <c r="C175" s="390">
        <v>69</v>
      </c>
      <c r="D175" s="391">
        <v>2.5</v>
      </c>
      <c r="E175" s="453">
        <f t="shared" si="3"/>
        <v>172.5</v>
      </c>
    </row>
    <row r="176" spans="1:5" ht="37.5" customHeight="1" x14ac:dyDescent="0.25">
      <c r="B176" s="425" t="s">
        <v>464</v>
      </c>
      <c r="C176" s="390">
        <v>71</v>
      </c>
      <c r="D176" s="391">
        <v>2</v>
      </c>
      <c r="E176" s="453">
        <f t="shared" si="3"/>
        <v>142</v>
      </c>
    </row>
    <row r="177" spans="2:5" ht="37.5" customHeight="1" x14ac:dyDescent="0.25">
      <c r="B177" s="425" t="s">
        <v>465</v>
      </c>
      <c r="C177" s="390">
        <v>4</v>
      </c>
      <c r="D177" s="391">
        <v>306</v>
      </c>
      <c r="E177" s="453">
        <f t="shared" si="3"/>
        <v>1224</v>
      </c>
    </row>
    <row r="178" spans="2:5" ht="37.5" customHeight="1" x14ac:dyDescent="0.25">
      <c r="B178" s="425" t="s">
        <v>466</v>
      </c>
      <c r="C178" s="390">
        <v>4</v>
      </c>
      <c r="D178" s="391">
        <v>235</v>
      </c>
      <c r="E178" s="453">
        <f t="shared" si="3"/>
        <v>940</v>
      </c>
    </row>
    <row r="179" spans="2:5" ht="37.5" customHeight="1" x14ac:dyDescent="0.25">
      <c r="B179" s="425" t="s">
        <v>467</v>
      </c>
      <c r="C179" s="390">
        <v>2</v>
      </c>
      <c r="D179" s="391">
        <v>26</v>
      </c>
      <c r="E179" s="453">
        <f t="shared" si="3"/>
        <v>52</v>
      </c>
    </row>
    <row r="180" spans="2:5" ht="37.5" customHeight="1" x14ac:dyDescent="0.25">
      <c r="B180" s="425" t="s">
        <v>468</v>
      </c>
      <c r="C180" s="390">
        <v>314</v>
      </c>
      <c r="D180" s="391">
        <v>1</v>
      </c>
      <c r="E180" s="453">
        <f t="shared" si="3"/>
        <v>314</v>
      </c>
    </row>
    <row r="181" spans="2:5" ht="37.5" customHeight="1" x14ac:dyDescent="0.25">
      <c r="B181" s="425" t="s">
        <v>461</v>
      </c>
      <c r="C181" s="390">
        <v>628</v>
      </c>
      <c r="D181" s="391">
        <v>1</v>
      </c>
      <c r="E181" s="453">
        <f t="shared" si="3"/>
        <v>628</v>
      </c>
    </row>
    <row r="182" spans="2:5" ht="37.5" customHeight="1" x14ac:dyDescent="0.25">
      <c r="B182" s="425" t="s">
        <v>469</v>
      </c>
      <c r="C182" s="390">
        <v>2</v>
      </c>
      <c r="D182" s="391">
        <v>224</v>
      </c>
      <c r="E182" s="453">
        <f t="shared" si="3"/>
        <v>448</v>
      </c>
    </row>
    <row r="183" spans="2:5" ht="37.5" customHeight="1" x14ac:dyDescent="0.25">
      <c r="B183" s="425" t="s">
        <v>470</v>
      </c>
      <c r="C183" s="390">
        <v>3</v>
      </c>
      <c r="D183" s="391">
        <v>51</v>
      </c>
      <c r="E183" s="453">
        <f t="shared" si="3"/>
        <v>153</v>
      </c>
    </row>
    <row r="184" spans="2:5" ht="37.5" customHeight="1" x14ac:dyDescent="0.25">
      <c r="B184" s="425" t="s">
        <v>446</v>
      </c>
      <c r="C184" s="390">
        <v>1</v>
      </c>
      <c r="D184" s="391">
        <v>561</v>
      </c>
      <c r="E184" s="453">
        <f t="shared" si="3"/>
        <v>561</v>
      </c>
    </row>
    <row r="185" spans="2:5" ht="37.5" customHeight="1" x14ac:dyDescent="0.25">
      <c r="B185" s="425" t="s">
        <v>455</v>
      </c>
      <c r="C185" s="390">
        <v>4</v>
      </c>
      <c r="D185" s="391">
        <v>259</v>
      </c>
      <c r="E185" s="453">
        <f t="shared" si="3"/>
        <v>1036</v>
      </c>
    </row>
    <row r="186" spans="2:5" ht="37.5" customHeight="1" x14ac:dyDescent="0.25">
      <c r="B186" s="425" t="s">
        <v>450</v>
      </c>
      <c r="C186" s="390">
        <v>30</v>
      </c>
      <c r="D186" s="391">
        <v>1</v>
      </c>
      <c r="E186" s="453">
        <f t="shared" si="3"/>
        <v>30</v>
      </c>
    </row>
    <row r="187" spans="2:5" ht="37.5" customHeight="1" x14ac:dyDescent="0.25">
      <c r="B187" s="425" t="s">
        <v>471</v>
      </c>
      <c r="C187" s="390">
        <v>1</v>
      </c>
      <c r="D187" s="391">
        <v>1111</v>
      </c>
      <c r="E187" s="453">
        <f t="shared" si="3"/>
        <v>1111</v>
      </c>
    </row>
    <row r="188" spans="2:5" ht="37.5" customHeight="1" x14ac:dyDescent="0.25">
      <c r="B188" s="469" t="s">
        <v>472</v>
      </c>
      <c r="C188" s="390">
        <v>1</v>
      </c>
      <c r="D188" s="391">
        <v>63</v>
      </c>
      <c r="E188" s="453">
        <f t="shared" si="3"/>
        <v>63</v>
      </c>
    </row>
    <row r="189" spans="2:5" ht="37.5" customHeight="1" x14ac:dyDescent="0.25">
      <c r="B189" s="469" t="s">
        <v>473</v>
      </c>
      <c r="C189" s="390">
        <v>1</v>
      </c>
      <c r="D189" s="391">
        <v>39</v>
      </c>
      <c r="E189" s="453">
        <f t="shared" si="3"/>
        <v>39</v>
      </c>
    </row>
    <row r="190" spans="2:5" ht="37.5" customHeight="1" x14ac:dyDescent="0.25">
      <c r="B190" s="425" t="s">
        <v>447</v>
      </c>
      <c r="C190" s="390">
        <v>17</v>
      </c>
      <c r="D190" s="391">
        <v>395</v>
      </c>
      <c r="E190" s="453">
        <f t="shared" si="3"/>
        <v>6715</v>
      </c>
    </row>
    <row r="191" spans="2:5" ht="37.5" customHeight="1" x14ac:dyDescent="0.25">
      <c r="B191" s="469" t="s">
        <v>474</v>
      </c>
      <c r="C191" s="475">
        <v>7</v>
      </c>
      <c r="D191" s="479">
        <v>215</v>
      </c>
      <c r="E191" s="453">
        <f t="shared" si="3"/>
        <v>1505</v>
      </c>
    </row>
    <row r="192" spans="2:5" ht="37.5" customHeight="1" x14ac:dyDescent="0.25">
      <c r="B192" s="469" t="s">
        <v>475</v>
      </c>
      <c r="C192" s="475">
        <v>1</v>
      </c>
      <c r="D192" s="479">
        <v>450</v>
      </c>
      <c r="E192" s="453">
        <f t="shared" si="3"/>
        <v>450</v>
      </c>
    </row>
    <row r="193" spans="2:5" ht="37.5" customHeight="1" x14ac:dyDescent="0.25">
      <c r="B193" s="469" t="s">
        <v>476</v>
      </c>
      <c r="C193" s="390">
        <v>1</v>
      </c>
      <c r="D193" s="391">
        <v>68</v>
      </c>
      <c r="E193" s="453">
        <f t="shared" si="3"/>
        <v>68</v>
      </c>
    </row>
    <row r="194" spans="2:5" ht="37.5" customHeight="1" x14ac:dyDescent="0.25">
      <c r="B194" s="469" t="s">
        <v>449</v>
      </c>
      <c r="C194" s="390">
        <v>1</v>
      </c>
      <c r="D194" s="391">
        <v>40</v>
      </c>
      <c r="E194" s="453">
        <f t="shared" si="3"/>
        <v>40</v>
      </c>
    </row>
    <row r="195" spans="2:5" ht="37.5" customHeight="1" x14ac:dyDescent="0.25">
      <c r="B195" s="425" t="s">
        <v>477</v>
      </c>
      <c r="C195" s="390">
        <v>2</v>
      </c>
      <c r="D195" s="391">
        <v>47</v>
      </c>
      <c r="E195" s="453">
        <f t="shared" si="3"/>
        <v>94</v>
      </c>
    </row>
    <row r="196" spans="2:5" ht="37.5" customHeight="1" x14ac:dyDescent="0.25">
      <c r="B196" s="425" t="s">
        <v>478</v>
      </c>
      <c r="C196" s="390">
        <v>10</v>
      </c>
      <c r="D196" s="391">
        <v>7</v>
      </c>
      <c r="E196" s="453">
        <f t="shared" si="3"/>
        <v>70</v>
      </c>
    </row>
    <row r="197" spans="2:5" ht="37.5" customHeight="1" x14ac:dyDescent="0.25">
      <c r="B197" s="469" t="s">
        <v>479</v>
      </c>
      <c r="C197" s="475">
        <v>6</v>
      </c>
      <c r="D197" s="479">
        <v>185</v>
      </c>
      <c r="E197" s="453">
        <f t="shared" si="3"/>
        <v>1110</v>
      </c>
    </row>
    <row r="198" spans="2:5" ht="37.5" customHeight="1" x14ac:dyDescent="0.25">
      <c r="B198" s="425" t="s">
        <v>480</v>
      </c>
      <c r="C198" s="390">
        <v>1</v>
      </c>
      <c r="D198" s="391">
        <v>250</v>
      </c>
      <c r="E198" s="453">
        <f t="shared" si="3"/>
        <v>250</v>
      </c>
    </row>
    <row r="199" spans="2:5" ht="16.5" x14ac:dyDescent="0.25">
      <c r="B199" s="469" t="s">
        <v>481</v>
      </c>
      <c r="C199" s="475">
        <v>3</v>
      </c>
      <c r="D199" s="479">
        <v>175</v>
      </c>
      <c r="E199" s="453">
        <f t="shared" si="3"/>
        <v>525</v>
      </c>
    </row>
    <row r="200" spans="2:5" ht="16.5" x14ac:dyDescent="0.25">
      <c r="B200" s="469" t="s">
        <v>482</v>
      </c>
      <c r="C200" s="475">
        <v>1</v>
      </c>
      <c r="D200" s="479">
        <v>56</v>
      </c>
      <c r="E200" s="453">
        <f t="shared" si="3"/>
        <v>56</v>
      </c>
    </row>
    <row r="201" spans="2:5" ht="16.5" x14ac:dyDescent="0.25">
      <c r="B201" s="469" t="s">
        <v>447</v>
      </c>
      <c r="C201" s="475">
        <v>2</v>
      </c>
      <c r="D201" s="479">
        <v>355</v>
      </c>
      <c r="E201" s="453">
        <f t="shared" si="3"/>
        <v>710</v>
      </c>
    </row>
    <row r="202" spans="2:5" ht="16.5" x14ac:dyDescent="0.25">
      <c r="B202" s="425" t="s">
        <v>256</v>
      </c>
      <c r="C202" s="390">
        <v>0</v>
      </c>
      <c r="D202" s="391">
        <v>400</v>
      </c>
      <c r="E202" s="453">
        <f t="shared" si="3"/>
        <v>0</v>
      </c>
    </row>
    <row r="203" spans="2:5" ht="16.5" x14ac:dyDescent="0.25">
      <c r="B203" s="425" t="s">
        <v>483</v>
      </c>
      <c r="C203" s="390">
        <v>3</v>
      </c>
      <c r="D203" s="391">
        <v>1100</v>
      </c>
      <c r="E203" s="453">
        <f t="shared" si="3"/>
        <v>3300</v>
      </c>
    </row>
    <row r="204" spans="2:5" ht="16.5" x14ac:dyDescent="0.25">
      <c r="B204" s="425" t="s">
        <v>484</v>
      </c>
      <c r="C204" s="390">
        <v>3</v>
      </c>
      <c r="D204" s="391">
        <v>1100</v>
      </c>
      <c r="E204" s="453">
        <f t="shared" si="3"/>
        <v>3300</v>
      </c>
    </row>
    <row r="205" spans="2:5" ht="16.5" x14ac:dyDescent="0.25">
      <c r="B205" s="425" t="s">
        <v>485</v>
      </c>
      <c r="C205" s="390">
        <v>3</v>
      </c>
      <c r="D205" s="391">
        <v>1100</v>
      </c>
      <c r="E205" s="453">
        <f t="shared" si="3"/>
        <v>3300</v>
      </c>
    </row>
    <row r="206" spans="2:5" ht="16.5" x14ac:dyDescent="0.25">
      <c r="B206" s="425" t="s">
        <v>486</v>
      </c>
      <c r="C206" s="390">
        <v>3</v>
      </c>
      <c r="D206" s="391">
        <v>1100</v>
      </c>
      <c r="E206" s="453">
        <f t="shared" si="3"/>
        <v>3300</v>
      </c>
    </row>
    <row r="207" spans="2:5" ht="16.5" x14ac:dyDescent="0.25">
      <c r="B207" s="425" t="s">
        <v>487</v>
      </c>
      <c r="C207" s="390">
        <v>100</v>
      </c>
      <c r="D207" s="391">
        <v>50</v>
      </c>
      <c r="E207" s="453">
        <f t="shared" si="3"/>
        <v>5000</v>
      </c>
    </row>
    <row r="208" spans="2:5" ht="16.5" x14ac:dyDescent="0.25">
      <c r="B208" s="425" t="s">
        <v>488</v>
      </c>
      <c r="C208" s="390">
        <v>100</v>
      </c>
      <c r="D208" s="391">
        <v>60</v>
      </c>
      <c r="E208" s="453">
        <f t="shared" si="3"/>
        <v>6000</v>
      </c>
    </row>
    <row r="209" spans="2:5" ht="16.5" x14ac:dyDescent="0.25">
      <c r="B209" s="425" t="s">
        <v>259</v>
      </c>
      <c r="C209" s="390">
        <v>2000</v>
      </c>
      <c r="D209" s="391">
        <v>49.33</v>
      </c>
      <c r="E209" s="453">
        <f t="shared" si="3"/>
        <v>98660</v>
      </c>
    </row>
    <row r="210" spans="2:5" ht="16.5" x14ac:dyDescent="0.25">
      <c r="B210" s="470" t="s">
        <v>259</v>
      </c>
      <c r="C210" s="476">
        <v>100</v>
      </c>
      <c r="D210" s="480">
        <v>43.436</v>
      </c>
      <c r="E210" s="453">
        <f t="shared" si="3"/>
        <v>4343.6000000000004</v>
      </c>
    </row>
    <row r="211" spans="2:5" ht="15.75" x14ac:dyDescent="0.25">
      <c r="B211" s="471" t="s">
        <v>489</v>
      </c>
      <c r="C211" s="477">
        <v>5</v>
      </c>
      <c r="D211" s="477">
        <v>2200</v>
      </c>
      <c r="E211" s="453">
        <f t="shared" si="3"/>
        <v>11000</v>
      </c>
    </row>
    <row r="212" spans="2:5" ht="15.75" x14ac:dyDescent="0.25">
      <c r="B212" s="471" t="s">
        <v>490</v>
      </c>
      <c r="C212" s="477">
        <v>2</v>
      </c>
      <c r="D212" s="477">
        <v>900</v>
      </c>
      <c r="E212" s="453">
        <f t="shared" si="3"/>
        <v>1800</v>
      </c>
    </row>
    <row r="213" spans="2:5" ht="15.75" x14ac:dyDescent="0.25">
      <c r="B213" s="471" t="s">
        <v>257</v>
      </c>
      <c r="C213" s="477">
        <v>1</v>
      </c>
      <c r="D213" s="477">
        <v>2000</v>
      </c>
      <c r="E213" s="453">
        <f t="shared" si="3"/>
        <v>2000</v>
      </c>
    </row>
    <row r="214" spans="2:5" ht="15.75" x14ac:dyDescent="0.25">
      <c r="B214" s="471" t="s">
        <v>491</v>
      </c>
      <c r="C214" s="477">
        <v>6</v>
      </c>
      <c r="D214" s="477">
        <v>1450</v>
      </c>
      <c r="E214" s="453">
        <f t="shared" si="3"/>
        <v>8700</v>
      </c>
    </row>
    <row r="215" spans="2:5" ht="15.75" x14ac:dyDescent="0.25">
      <c r="B215" s="471" t="s">
        <v>492</v>
      </c>
      <c r="C215" s="477">
        <v>1</v>
      </c>
      <c r="D215" s="477">
        <v>1900</v>
      </c>
      <c r="E215" s="453">
        <f t="shared" si="3"/>
        <v>1900</v>
      </c>
    </row>
    <row r="216" spans="2:5" ht="15.75" x14ac:dyDescent="0.25">
      <c r="B216" s="471" t="s">
        <v>493</v>
      </c>
      <c r="C216" s="477">
        <v>2</v>
      </c>
      <c r="D216" s="477">
        <v>1500</v>
      </c>
      <c r="E216" s="453">
        <f t="shared" si="3"/>
        <v>3000</v>
      </c>
    </row>
    <row r="217" spans="2:5" ht="15.75" x14ac:dyDescent="0.25">
      <c r="B217" s="471" t="s">
        <v>494</v>
      </c>
      <c r="C217" s="477">
        <v>10</v>
      </c>
      <c r="D217" s="477">
        <v>100</v>
      </c>
      <c r="E217" s="453">
        <f t="shared" si="3"/>
        <v>1000</v>
      </c>
    </row>
    <row r="218" spans="2:5" ht="15.75" x14ac:dyDescent="0.25">
      <c r="B218" s="471" t="s">
        <v>495</v>
      </c>
      <c r="C218" s="477">
        <v>1</v>
      </c>
      <c r="D218" s="477">
        <v>2000</v>
      </c>
      <c r="E218" s="453">
        <f t="shared" si="3"/>
        <v>2000</v>
      </c>
    </row>
    <row r="219" spans="2:5" ht="31.5" x14ac:dyDescent="0.25">
      <c r="B219" s="471" t="s">
        <v>496</v>
      </c>
      <c r="C219" s="477">
        <v>2</v>
      </c>
      <c r="D219" s="477">
        <v>8400</v>
      </c>
      <c r="E219" s="453">
        <f t="shared" si="3"/>
        <v>16800</v>
      </c>
    </row>
    <row r="220" spans="2:5" ht="16.5" x14ac:dyDescent="0.25">
      <c r="B220" s="472" t="s">
        <v>497</v>
      </c>
      <c r="C220" s="474">
        <v>2</v>
      </c>
      <c r="D220" s="478">
        <v>8400</v>
      </c>
      <c r="E220" s="453">
        <f t="shared" si="3"/>
        <v>16800</v>
      </c>
    </row>
    <row r="221" spans="2:5" ht="16.5" x14ac:dyDescent="0.25">
      <c r="B221" s="425" t="s">
        <v>498</v>
      </c>
      <c r="C221" s="390">
        <v>1</v>
      </c>
      <c r="D221" s="391">
        <v>754</v>
      </c>
      <c r="E221" s="453">
        <f t="shared" si="3"/>
        <v>754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420"/>
  <sheetViews>
    <sheetView topLeftCell="A378" workbookViewId="0">
      <selection sqref="A1:E421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41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07.12.2021 № 80-ОС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41"/>
    </row>
    <row r="3" spans="1:5" x14ac:dyDescent="0.25">
      <c r="A3" s="642" t="s">
        <v>124</v>
      </c>
      <c r="B3" s="642"/>
      <c r="C3" s="642"/>
      <c r="D3" s="642"/>
      <c r="E3" s="642"/>
    </row>
    <row r="4" spans="1:5" ht="13.5" customHeight="1" x14ac:dyDescent="0.25">
      <c r="A4" s="643" t="s">
        <v>148</v>
      </c>
      <c r="B4" s="643"/>
      <c r="C4" s="643"/>
      <c r="D4" s="643"/>
      <c r="E4" s="643"/>
    </row>
    <row r="5" spans="1:5" ht="60" x14ac:dyDescent="0.25">
      <c r="A5" s="131" t="s">
        <v>125</v>
      </c>
      <c r="B5" s="66" t="s">
        <v>126</v>
      </c>
      <c r="C5" s="131" t="s">
        <v>127</v>
      </c>
      <c r="D5" s="131" t="s">
        <v>128</v>
      </c>
      <c r="E5" s="131" t="s">
        <v>129</v>
      </c>
    </row>
    <row r="6" spans="1:5" x14ac:dyDescent="0.25">
      <c r="A6" s="132">
        <v>1</v>
      </c>
      <c r="B6" s="132">
        <v>2</v>
      </c>
      <c r="C6" s="132">
        <v>3</v>
      </c>
      <c r="D6" s="132">
        <v>4</v>
      </c>
      <c r="E6" s="132">
        <v>5</v>
      </c>
    </row>
    <row r="7" spans="1:5" ht="37.15" customHeight="1" x14ac:dyDescent="0.25">
      <c r="A7" s="652" t="s">
        <v>150</v>
      </c>
      <c r="B7" s="650" t="s">
        <v>151</v>
      </c>
      <c r="C7" s="644" t="s">
        <v>130</v>
      </c>
      <c r="D7" s="645"/>
      <c r="E7" s="646"/>
    </row>
    <row r="8" spans="1:5" ht="14.45" customHeight="1" x14ac:dyDescent="0.25">
      <c r="A8" s="653"/>
      <c r="B8" s="651"/>
      <c r="C8" s="647" t="s">
        <v>131</v>
      </c>
      <c r="D8" s="648"/>
      <c r="E8" s="649"/>
    </row>
    <row r="9" spans="1:5" ht="12" customHeight="1" x14ac:dyDescent="0.25">
      <c r="A9" s="653"/>
      <c r="B9" s="651"/>
      <c r="C9" s="109" t="s">
        <v>138</v>
      </c>
      <c r="D9" s="133" t="s">
        <v>132</v>
      </c>
      <c r="E9" s="232">
        <f>'патриотика0,369'!D25</f>
        <v>2.0663999999999998</v>
      </c>
    </row>
    <row r="10" spans="1:5" ht="12" customHeight="1" x14ac:dyDescent="0.25">
      <c r="A10" s="653"/>
      <c r="B10" s="651"/>
      <c r="C10" s="109" t="s">
        <v>91</v>
      </c>
      <c r="D10" s="134" t="s">
        <v>132</v>
      </c>
      <c r="E10" s="232">
        <f>'патриотика0,369'!D24</f>
        <v>0.36899999999999999</v>
      </c>
    </row>
    <row r="11" spans="1:5" ht="12" customHeight="1" x14ac:dyDescent="0.25">
      <c r="A11" s="653"/>
      <c r="B11" s="651"/>
      <c r="C11" s="663" t="s">
        <v>142</v>
      </c>
      <c r="D11" s="664"/>
      <c r="E11" s="665"/>
    </row>
    <row r="12" spans="1:5" ht="40.15" customHeight="1" x14ac:dyDescent="0.25">
      <c r="A12" s="653"/>
      <c r="B12" s="651"/>
      <c r="C12" s="120" t="s">
        <v>289</v>
      </c>
      <c r="D12" s="101" t="s">
        <v>39</v>
      </c>
      <c r="E12" s="231">
        <f>'патриотика0,369'!E46</f>
        <v>0.36899999999999999</v>
      </c>
    </row>
    <row r="13" spans="1:5" ht="25.5" customHeight="1" x14ac:dyDescent="0.25">
      <c r="A13" s="653"/>
      <c r="B13" s="651"/>
      <c r="C13" s="120" t="s">
        <v>290</v>
      </c>
      <c r="D13" s="101" t="s">
        <v>39</v>
      </c>
      <c r="E13" s="231">
        <f>'патриотика0,369'!E47</f>
        <v>0.36899999999999999</v>
      </c>
    </row>
    <row r="14" spans="1:5" ht="22.9" customHeight="1" x14ac:dyDescent="0.25">
      <c r="A14" s="653"/>
      <c r="B14" s="651"/>
      <c r="C14" s="120" t="s">
        <v>291</v>
      </c>
      <c r="D14" s="101" t="s">
        <v>39</v>
      </c>
      <c r="E14" s="231">
        <f>'патриотика0,369'!E48</f>
        <v>0.36899999999999999</v>
      </c>
    </row>
    <row r="15" spans="1:5" ht="27" customHeight="1" x14ac:dyDescent="0.25">
      <c r="A15" s="653"/>
      <c r="B15" s="651"/>
      <c r="C15" s="666" t="s">
        <v>143</v>
      </c>
      <c r="D15" s="667"/>
      <c r="E15" s="668"/>
    </row>
    <row r="16" spans="1:5" ht="30" hidden="1" customHeight="1" x14ac:dyDescent="0.25">
      <c r="A16" s="653"/>
      <c r="B16" s="651"/>
      <c r="C16" s="130" t="e">
        <f>'патриотика0,369'!#REF!</f>
        <v>#REF!</v>
      </c>
      <c r="D16" s="101"/>
      <c r="E16" s="91"/>
    </row>
    <row r="17" spans="1:5" ht="12" customHeight="1" x14ac:dyDescent="0.25">
      <c r="A17" s="653"/>
      <c r="B17" s="651"/>
      <c r="C17" s="130" t="str">
        <f>'патриотика0,369'!A56</f>
        <v>Участие подростков, участников ВПК, в сдаче на право ношения спецжетона КРОО «Ветераны Спецназа» г. Красноярск</v>
      </c>
      <c r="D17" s="490" t="s">
        <v>39</v>
      </c>
      <c r="E17" s="91">
        <f>'патриотика0,369'!D56</f>
        <v>0</v>
      </c>
    </row>
    <row r="18" spans="1:5" ht="12" customHeight="1" x14ac:dyDescent="0.25">
      <c r="A18" s="653"/>
      <c r="B18" s="651"/>
      <c r="C18" s="130" t="str">
        <f>'патриотика0,369'!A57</f>
        <v>Проезд детей</v>
      </c>
      <c r="D18" s="490" t="s">
        <v>39</v>
      </c>
      <c r="E18" s="91">
        <f>'патриотика0,369'!D57</f>
        <v>4</v>
      </c>
    </row>
    <row r="19" spans="1:5" ht="12" customHeight="1" x14ac:dyDescent="0.25">
      <c r="A19" s="653"/>
      <c r="B19" s="651"/>
      <c r="C19" s="130" t="str">
        <f>'патриотика0,369'!A58</f>
        <v>Проживание детей 2 детей</v>
      </c>
      <c r="D19" s="490" t="s">
        <v>39</v>
      </c>
      <c r="E19" s="91">
        <f>'патриотика0,369'!D58</f>
        <v>6</v>
      </c>
    </row>
    <row r="20" spans="1:5" ht="12" customHeight="1" x14ac:dyDescent="0.25">
      <c r="A20" s="653"/>
      <c r="B20" s="651"/>
      <c r="C20" s="130" t="str">
        <f>'патриотика0,369'!A59</f>
        <v>Суточные детей 2</v>
      </c>
      <c r="D20" s="490" t="s">
        <v>39</v>
      </c>
      <c r="E20" s="91">
        <f>'патриотика0,369'!D59</f>
        <v>8</v>
      </c>
    </row>
    <row r="21" spans="1:5" ht="12" customHeight="1" x14ac:dyDescent="0.25">
      <c r="A21" s="653"/>
      <c r="B21" s="651"/>
      <c r="C21" s="130" t="str">
        <f>'патриотика0,369'!A60</f>
        <v>Участие команды ВПО Северо-Енисейского района в краевом сборе-конкурсе курсантов военно-патриотических объединений "Слет Патриотов-2021" (Манский район)</v>
      </c>
      <c r="D21" s="490" t="s">
        <v>39</v>
      </c>
      <c r="E21" s="91">
        <f>'патриотика0,369'!D60</f>
        <v>0</v>
      </c>
    </row>
    <row r="22" spans="1:5" ht="12" customHeight="1" x14ac:dyDescent="0.25">
      <c r="A22" s="653"/>
      <c r="B22" s="651"/>
      <c r="C22" s="130" t="str">
        <f>'патриотика0,369'!A61</f>
        <v>Проезд детей (10 детей)</v>
      </c>
      <c r="D22" s="490" t="s">
        <v>39</v>
      </c>
      <c r="E22" s="91">
        <f>'патриотика0,369'!D61</f>
        <v>0</v>
      </c>
    </row>
    <row r="23" spans="1:5" ht="12" customHeight="1" x14ac:dyDescent="0.25">
      <c r="A23" s="653"/>
      <c r="B23" s="651"/>
      <c r="C23" s="130" t="str">
        <f>'патриотика0,369'!A62</f>
        <v>Суточные детей (10 детей)</v>
      </c>
      <c r="D23" s="490" t="s">
        <v>39</v>
      </c>
      <c r="E23" s="91">
        <f>'патриотика0,369'!D62</f>
        <v>79</v>
      </c>
    </row>
    <row r="24" spans="1:5" ht="12" customHeight="1" x14ac:dyDescent="0.25">
      <c r="A24" s="653"/>
      <c r="B24" s="651"/>
      <c r="C24" s="130" t="str">
        <f>'патриотика0,369'!A63</f>
        <v>Поисковая экспедиция</v>
      </c>
      <c r="D24" s="490" t="s">
        <v>39</v>
      </c>
      <c r="E24" s="91">
        <f>'патриотика0,369'!D63</f>
        <v>0</v>
      </c>
    </row>
    <row r="25" spans="1:5" ht="12" customHeight="1" x14ac:dyDescent="0.25">
      <c r="A25" s="653"/>
      <c r="B25" s="651"/>
      <c r="C25" s="130" t="str">
        <f>'патриотика0,369'!A64</f>
        <v>Проезд детей 4</v>
      </c>
      <c r="D25" s="490" t="s">
        <v>39</v>
      </c>
      <c r="E25" s="91">
        <f>'патриотика0,369'!D64</f>
        <v>8</v>
      </c>
    </row>
    <row r="26" spans="1:5" ht="12" customHeight="1" x14ac:dyDescent="0.25">
      <c r="A26" s="653"/>
      <c r="B26" s="651"/>
      <c r="C26" s="130" t="str">
        <f>'патриотика0,369'!A65</f>
        <v>Суточные детей 4</v>
      </c>
      <c r="D26" s="490" t="s">
        <v>39</v>
      </c>
      <c r="E26" s="91">
        <f>'патриотика0,369'!D65</f>
        <v>80</v>
      </c>
    </row>
    <row r="27" spans="1:5" ht="12" customHeight="1" x14ac:dyDescent="0.25">
      <c r="A27" s="653"/>
      <c r="B27" s="651"/>
      <c r="C27" s="130" t="str">
        <f>'патриотика0,369'!A66</f>
        <v>Участие в Слете актива движения ЮНАРМИЯ в ЦДП "Юнармия" (п. Емельяново)</v>
      </c>
      <c r="D27" s="490" t="s">
        <v>39</v>
      </c>
      <c r="E27" s="91">
        <f>'патриотика0,369'!D66</f>
        <v>0</v>
      </c>
    </row>
    <row r="28" spans="1:5" ht="12" customHeight="1" x14ac:dyDescent="0.25">
      <c r="A28" s="653"/>
      <c r="B28" s="651"/>
      <c r="C28" s="130" t="str">
        <f>'патриотика0,369'!A67</f>
        <v>Проезд детей</v>
      </c>
      <c r="D28" s="490" t="s">
        <v>39</v>
      </c>
      <c r="E28" s="91">
        <f>'патриотика0,369'!D67</f>
        <v>8</v>
      </c>
    </row>
    <row r="29" spans="1:5" ht="12" customHeight="1" x14ac:dyDescent="0.25">
      <c r="A29" s="653"/>
      <c r="B29" s="651"/>
      <c r="C29" s="130" t="str">
        <f>'патриотика0,369'!A68</f>
        <v>Суточные детей 4</v>
      </c>
      <c r="D29" s="490" t="s">
        <v>39</v>
      </c>
      <c r="E29" s="91">
        <f>'патриотика0,369'!D68</f>
        <v>8</v>
      </c>
    </row>
    <row r="30" spans="1:5" ht="12" customHeight="1" x14ac:dyDescent="0.25">
      <c r="A30" s="653"/>
      <c r="B30" s="651"/>
      <c r="C30" s="130" t="str">
        <f>'патриотика0,369'!A69</f>
        <v>Участие молодежи Северо-Енисейского района в Российском патриотическом фестивале в г. Красноярск</v>
      </c>
      <c r="D30" s="490" t="s">
        <v>39</v>
      </c>
      <c r="E30" s="91">
        <f>'патриотика0,369'!D69</f>
        <v>0</v>
      </c>
    </row>
    <row r="31" spans="1:5" ht="12" customHeight="1" x14ac:dyDescent="0.25">
      <c r="A31" s="653"/>
      <c r="B31" s="651"/>
      <c r="C31" s="130" t="str">
        <f>'патриотика0,369'!A70</f>
        <v>Проезд детей</v>
      </c>
      <c r="D31" s="490" t="s">
        <v>39</v>
      </c>
      <c r="E31" s="91">
        <f>'патриотика0,369'!D70</f>
        <v>4</v>
      </c>
    </row>
    <row r="32" spans="1:5" ht="12" customHeight="1" x14ac:dyDescent="0.25">
      <c r="A32" s="653"/>
      <c r="B32" s="651"/>
      <c r="C32" s="130" t="str">
        <f>'патриотика0,369'!A71</f>
        <v>Проживание детей 2 детей</v>
      </c>
      <c r="D32" s="490" t="s">
        <v>39</v>
      </c>
      <c r="E32" s="91">
        <f>'патриотика0,369'!D71</f>
        <v>8</v>
      </c>
    </row>
    <row r="33" spans="1:5" ht="12" customHeight="1" x14ac:dyDescent="0.25">
      <c r="A33" s="653"/>
      <c r="B33" s="651"/>
      <c r="C33" s="130" t="str">
        <f>'патриотика0,369'!A72</f>
        <v>Суточные детей 2</v>
      </c>
      <c r="D33" s="490" t="s">
        <v>39</v>
      </c>
      <c r="E33" s="91">
        <f>'патриотика0,369'!D72</f>
        <v>18</v>
      </c>
    </row>
    <row r="34" spans="1:5" ht="12" customHeight="1" x14ac:dyDescent="0.25">
      <c r="A34" s="653"/>
      <c r="B34" s="651"/>
      <c r="C34" s="130" t="str">
        <f>'патриотика0,369'!A73</f>
        <v xml:space="preserve">Военно-спортивная игра «Сибирский щит: Орленок». Участие в Зональном этапе. </v>
      </c>
      <c r="D34" s="490" t="s">
        <v>39</v>
      </c>
      <c r="E34" s="91">
        <f>'патриотика0,369'!D73</f>
        <v>0</v>
      </c>
    </row>
    <row r="35" spans="1:5" ht="12" customHeight="1" x14ac:dyDescent="0.25">
      <c r="A35" s="653"/>
      <c r="B35" s="651"/>
      <c r="C35" s="130" t="str">
        <f>'патриотика0,369'!A74</f>
        <v>Проезд детей</v>
      </c>
      <c r="D35" s="490" t="s">
        <v>39</v>
      </c>
      <c r="E35" s="91">
        <f>'патриотика0,369'!D74</f>
        <v>0</v>
      </c>
    </row>
    <row r="36" spans="1:5" ht="12" customHeight="1" x14ac:dyDescent="0.25">
      <c r="A36" s="653"/>
      <c r="B36" s="651"/>
      <c r="C36" s="130" t="str">
        <f>'патриотика0,369'!A75</f>
        <v>Проживание детей 10 детей</v>
      </c>
      <c r="D36" s="490" t="s">
        <v>39</v>
      </c>
      <c r="E36" s="91">
        <f>'патриотика0,369'!D75</f>
        <v>1</v>
      </c>
    </row>
    <row r="37" spans="1:5" ht="12" customHeight="1" x14ac:dyDescent="0.25">
      <c r="A37" s="653"/>
      <c r="B37" s="651"/>
      <c r="C37" s="130" t="str">
        <f>'патриотика0,369'!A76</f>
        <v>Суточные детей 10</v>
      </c>
      <c r="D37" s="490" t="s">
        <v>39</v>
      </c>
      <c r="E37" s="91">
        <f>'патриотика0,369'!D76</f>
        <v>0</v>
      </c>
    </row>
    <row r="38" spans="1:5" ht="12" customHeight="1" x14ac:dyDescent="0.25">
      <c r="A38" s="653"/>
      <c r="B38" s="651"/>
      <c r="C38" s="130" t="str">
        <f>'патриотика0,369'!A77</f>
        <v>Флаг (флажная сетка) 0,9*1,35</v>
      </c>
      <c r="D38" s="490" t="s">
        <v>39</v>
      </c>
      <c r="E38" s="91">
        <f>'патриотика0,369'!D77</f>
        <v>7</v>
      </c>
    </row>
    <row r="39" spans="1:5" ht="12" customHeight="1" x14ac:dyDescent="0.25">
      <c r="A39" s="653"/>
      <c r="B39" s="651"/>
      <c r="C39" s="130" t="str">
        <f>'патриотика0,369'!A78</f>
        <v>Банер "Юнармия"</v>
      </c>
      <c r="D39" s="490" t="s">
        <v>39</v>
      </c>
      <c r="E39" s="91">
        <f>'патриотика0,369'!D78</f>
        <v>1</v>
      </c>
    </row>
    <row r="40" spans="1:5" ht="12" customHeight="1" x14ac:dyDescent="0.25">
      <c r="A40" s="653"/>
      <c r="B40" s="651"/>
      <c r="C40" s="130" t="str">
        <f>'патриотика0,369'!A79</f>
        <v>спортивный меч</v>
      </c>
      <c r="D40" s="490" t="s">
        <v>39</v>
      </c>
      <c r="E40" s="91">
        <f>'патриотика0,369'!D79</f>
        <v>12</v>
      </c>
    </row>
    <row r="41" spans="1:5" ht="12" customHeight="1" x14ac:dyDescent="0.25">
      <c r="A41" s="653"/>
      <c r="B41" s="651"/>
      <c r="C41" s="130" t="str">
        <f>'патриотика0,369'!A80</f>
        <v>Щит красный</v>
      </c>
      <c r="D41" s="490" t="s">
        <v>39</v>
      </c>
      <c r="E41" s="91">
        <f>'патриотика0,369'!D80</f>
        <v>5</v>
      </c>
    </row>
    <row r="42" spans="1:5" ht="12" customHeight="1" x14ac:dyDescent="0.25">
      <c r="A42" s="653"/>
      <c r="B42" s="651"/>
      <c r="C42" s="130" t="str">
        <f>'патриотика0,369'!A81</f>
        <v>Щит синий</v>
      </c>
      <c r="D42" s="490" t="s">
        <v>39</v>
      </c>
      <c r="E42" s="91">
        <f>'патриотика0,369'!D81</f>
        <v>5</v>
      </c>
    </row>
    <row r="43" spans="1:5" ht="12" customHeight="1" x14ac:dyDescent="0.25">
      <c r="A43" s="653"/>
      <c r="B43" s="651"/>
      <c r="C43" s="130" t="str">
        <f>'патриотика0,369'!A82</f>
        <v>Жилет защитный s красный</v>
      </c>
      <c r="D43" s="490" t="s">
        <v>39</v>
      </c>
      <c r="E43" s="91">
        <f>'патриотика0,369'!D82</f>
        <v>4</v>
      </c>
    </row>
    <row r="44" spans="1:5" ht="12" customHeight="1" x14ac:dyDescent="0.25">
      <c r="A44" s="653"/>
      <c r="B44" s="651"/>
      <c r="C44" s="130" t="str">
        <f>'патриотика0,369'!A83</f>
        <v>Жилет защитный s синий</v>
      </c>
      <c r="D44" s="490" t="s">
        <v>39</v>
      </c>
      <c r="E44" s="91">
        <f>'патриотика0,369'!D83</f>
        <v>4</v>
      </c>
    </row>
    <row r="45" spans="1:5" ht="12" customHeight="1" x14ac:dyDescent="0.25">
      <c r="A45" s="653"/>
      <c r="B45" s="651"/>
      <c r="C45" s="130" t="str">
        <f>'патриотика0,369'!A84</f>
        <v>Жилет защитный М красный</v>
      </c>
      <c r="D45" s="490" t="s">
        <v>39</v>
      </c>
      <c r="E45" s="91">
        <f>'патриотика0,369'!D84</f>
        <v>2</v>
      </c>
    </row>
    <row r="46" spans="1:5" ht="12" customHeight="1" x14ac:dyDescent="0.25">
      <c r="A46" s="653"/>
      <c r="B46" s="651"/>
      <c r="C46" s="130" t="str">
        <f>'патриотика0,369'!A85</f>
        <v>Жилет защитный М синий</v>
      </c>
      <c r="D46" s="490" t="s">
        <v>39</v>
      </c>
      <c r="E46" s="91">
        <f>'патриотика0,369'!D85</f>
        <v>2</v>
      </c>
    </row>
    <row r="47" spans="1:5" ht="12" customHeight="1" x14ac:dyDescent="0.25">
      <c r="A47" s="653"/>
      <c r="B47" s="651"/>
      <c r="C47" s="130" t="str">
        <f>'патриотика0,369'!A86</f>
        <v>Жилет защитный L красный</v>
      </c>
      <c r="D47" s="490" t="s">
        <v>39</v>
      </c>
      <c r="E47" s="91">
        <f>'патриотика0,369'!D86</f>
        <v>1</v>
      </c>
    </row>
    <row r="48" spans="1:5" ht="12" customHeight="1" x14ac:dyDescent="0.25">
      <c r="A48" s="653"/>
      <c r="B48" s="651"/>
      <c r="C48" s="130" t="str">
        <f>'патриотика0,369'!A87</f>
        <v>Жилет защитный L синий</v>
      </c>
      <c r="D48" s="490" t="s">
        <v>39</v>
      </c>
      <c r="E48" s="91">
        <f>'патриотика0,369'!D87</f>
        <v>1</v>
      </c>
    </row>
    <row r="49" spans="1:5" ht="12" customHeight="1" x14ac:dyDescent="0.25">
      <c r="A49" s="653"/>
      <c r="B49" s="651"/>
      <c r="C49" s="130" t="str">
        <f>'патриотика0,369'!A88</f>
        <v>Шлем с металлической маской s красный</v>
      </c>
      <c r="D49" s="490" t="s">
        <v>39</v>
      </c>
      <c r="E49" s="91">
        <f>'патриотика0,369'!D88</f>
        <v>5</v>
      </c>
    </row>
    <row r="50" spans="1:5" ht="12" customHeight="1" x14ac:dyDescent="0.25">
      <c r="A50" s="653"/>
      <c r="B50" s="651"/>
      <c r="C50" s="130" t="str">
        <f>'патриотика0,369'!A89</f>
        <v>Шлем с металлической маскойй s синий</v>
      </c>
      <c r="D50" s="490" t="s">
        <v>39</v>
      </c>
      <c r="E50" s="91">
        <f>'патриотика0,369'!D89</f>
        <v>5</v>
      </c>
    </row>
    <row r="51" spans="1:5" ht="12" customHeight="1" x14ac:dyDescent="0.25">
      <c r="A51" s="653"/>
      <c r="B51" s="651"/>
      <c r="C51" s="130" t="str">
        <f>'патриотика0,369'!A90</f>
        <v>Шлем с металлической маской L красный</v>
      </c>
      <c r="D51" s="490" t="s">
        <v>39</v>
      </c>
      <c r="E51" s="91">
        <f>'патриотика0,369'!D90</f>
        <v>2</v>
      </c>
    </row>
    <row r="52" spans="1:5" ht="12" customHeight="1" x14ac:dyDescent="0.25">
      <c r="A52" s="653"/>
      <c r="B52" s="651"/>
      <c r="C52" s="130" t="str">
        <f>'патриотика0,369'!A91</f>
        <v>Шлем с металлической маской L синий</v>
      </c>
      <c r="D52" s="490" t="s">
        <v>39</v>
      </c>
      <c r="E52" s="91">
        <f>'патриотика0,369'!D91</f>
        <v>2</v>
      </c>
    </row>
    <row r="53" spans="1:5" ht="12" customHeight="1" x14ac:dyDescent="0.25">
      <c r="A53" s="653"/>
      <c r="B53" s="651"/>
      <c r="C53" s="130" t="str">
        <f>'патриотика0,369'!A92</f>
        <v>Щитки на предплечье М красный</v>
      </c>
      <c r="D53" s="490" t="s">
        <v>39</v>
      </c>
      <c r="E53" s="91">
        <f>'патриотика0,369'!D92</f>
        <v>4</v>
      </c>
    </row>
    <row r="54" spans="1:5" ht="12" customHeight="1" x14ac:dyDescent="0.25">
      <c r="A54" s="653"/>
      <c r="B54" s="651"/>
      <c r="C54" s="130" t="str">
        <f>'патриотика0,369'!A93</f>
        <v>Щитки на предплечье М синий</v>
      </c>
      <c r="D54" s="490" t="s">
        <v>39</v>
      </c>
      <c r="E54" s="91">
        <f>'патриотика0,369'!D93</f>
        <v>4</v>
      </c>
    </row>
    <row r="55" spans="1:5" ht="12" customHeight="1" x14ac:dyDescent="0.25">
      <c r="A55" s="653"/>
      <c r="B55" s="651"/>
      <c r="C55" s="130" t="str">
        <f>'патриотика0,369'!A94</f>
        <v>Щитки на предплечье L красный</v>
      </c>
      <c r="D55" s="490" t="s">
        <v>39</v>
      </c>
      <c r="E55" s="91">
        <f>'патриотика0,369'!D94</f>
        <v>2</v>
      </c>
    </row>
    <row r="56" spans="1:5" ht="12" customHeight="1" x14ac:dyDescent="0.25">
      <c r="A56" s="653"/>
      <c r="B56" s="651"/>
      <c r="C56" s="130" t="str">
        <f>'патриотика0,369'!A95</f>
        <v>Щитки на предплечье L синий</v>
      </c>
      <c r="D56" s="490" t="s">
        <v>39</v>
      </c>
      <c r="E56" s="91">
        <f>'патриотика0,369'!D95</f>
        <v>2</v>
      </c>
    </row>
    <row r="57" spans="1:5" ht="12" customHeight="1" x14ac:dyDescent="0.25">
      <c r="A57" s="653"/>
      <c r="B57" s="651"/>
      <c r="C57" s="130" t="str">
        <f>'патриотика0,369'!A96</f>
        <v>Наколенники М красный</v>
      </c>
      <c r="D57" s="490" t="s">
        <v>39</v>
      </c>
      <c r="E57" s="91">
        <f>'патриотика0,369'!D96</f>
        <v>5</v>
      </c>
    </row>
    <row r="58" spans="1:5" ht="12" customHeight="1" x14ac:dyDescent="0.25">
      <c r="A58" s="653"/>
      <c r="B58" s="651"/>
      <c r="C58" s="130" t="str">
        <f>'патриотика0,369'!A97</f>
        <v>Наколенники М синий</v>
      </c>
      <c r="D58" s="490" t="s">
        <v>39</v>
      </c>
      <c r="E58" s="91">
        <f>'патриотика0,369'!D97</f>
        <v>5</v>
      </c>
    </row>
    <row r="59" spans="1:5" ht="12" customHeight="1" x14ac:dyDescent="0.25">
      <c r="A59" s="653"/>
      <c r="B59" s="651"/>
      <c r="C59" s="130" t="str">
        <f>'патриотика0,369'!A98</f>
        <v>Наколенники L красный</v>
      </c>
      <c r="D59" s="490" t="s">
        <v>39</v>
      </c>
      <c r="E59" s="91">
        <f>'патриотика0,369'!D98</f>
        <v>1</v>
      </c>
    </row>
    <row r="60" spans="1:5" ht="12" customHeight="1" x14ac:dyDescent="0.25">
      <c r="A60" s="653"/>
      <c r="B60" s="651"/>
      <c r="C60" s="130" t="str">
        <f>'патриотика0,369'!A99</f>
        <v>Наколенники L синий</v>
      </c>
      <c r="D60" s="490" t="s">
        <v>39</v>
      </c>
      <c r="E60" s="91">
        <f>'патриотика0,369'!D99</f>
        <v>1</v>
      </c>
    </row>
    <row r="61" spans="1:5" ht="12" customHeight="1" x14ac:dyDescent="0.25">
      <c r="A61" s="653"/>
      <c r="B61" s="651"/>
      <c r="C61" s="130" t="str">
        <f>'патриотика0,369'!A100</f>
        <v>Защита шеи s красный</v>
      </c>
      <c r="D61" s="490" t="s">
        <v>39</v>
      </c>
      <c r="E61" s="91">
        <f>'патриотика0,369'!D100</f>
        <v>2</v>
      </c>
    </row>
    <row r="62" spans="1:5" ht="12" customHeight="1" x14ac:dyDescent="0.25">
      <c r="A62" s="653"/>
      <c r="B62" s="651"/>
      <c r="C62" s="130" t="str">
        <f>'патриотика0,369'!A101</f>
        <v>Защита шеи s синий</v>
      </c>
      <c r="D62" s="490" t="s">
        <v>39</v>
      </c>
      <c r="E62" s="91">
        <f>'патриотика0,369'!D101</f>
        <v>2</v>
      </c>
    </row>
    <row r="63" spans="1:5" ht="12" customHeight="1" x14ac:dyDescent="0.25">
      <c r="A63" s="653"/>
      <c r="B63" s="651"/>
      <c r="C63" s="130" t="str">
        <f>'патриотика0,369'!A102</f>
        <v>Защита шеи М красный</v>
      </c>
      <c r="D63" s="490" t="s">
        <v>39</v>
      </c>
      <c r="E63" s="91">
        <f>'патриотика0,369'!D102</f>
        <v>3</v>
      </c>
    </row>
    <row r="64" spans="1:5" ht="12" customHeight="1" x14ac:dyDescent="0.25">
      <c r="A64" s="653"/>
      <c r="B64" s="651"/>
      <c r="C64" s="130" t="str">
        <f>'патриотика0,369'!A103</f>
        <v>Защита шеи М синий</v>
      </c>
      <c r="D64" s="490" t="s">
        <v>39</v>
      </c>
      <c r="E64" s="91">
        <f>'патриотика0,369'!D103</f>
        <v>3</v>
      </c>
    </row>
    <row r="65" spans="1:5" ht="12" customHeight="1" x14ac:dyDescent="0.25">
      <c r="A65" s="653"/>
      <c r="B65" s="651"/>
      <c r="C65" s="130" t="str">
        <f>'патриотика0,369'!A104</f>
        <v>Защита шеи L красный</v>
      </c>
      <c r="D65" s="490" t="s">
        <v>39</v>
      </c>
      <c r="E65" s="91">
        <f>'патриотика0,369'!D104</f>
        <v>1</v>
      </c>
    </row>
    <row r="66" spans="1:5" ht="12" customHeight="1" x14ac:dyDescent="0.25">
      <c r="A66" s="653"/>
      <c r="B66" s="651"/>
      <c r="C66" s="130" t="str">
        <f>'патриотика0,369'!A105</f>
        <v>Защита шеи L синий</v>
      </c>
      <c r="D66" s="490" t="s">
        <v>39</v>
      </c>
      <c r="E66" s="91">
        <f>'патриотика0,369'!D105</f>
        <v>1</v>
      </c>
    </row>
    <row r="67" spans="1:5" ht="12" customHeight="1" x14ac:dyDescent="0.25">
      <c r="A67" s="653"/>
      <c r="B67" s="651"/>
      <c r="C67" s="130" t="str">
        <f>'патриотика0,369'!A106</f>
        <v>Фотобумага 150 гр</v>
      </c>
      <c r="D67" s="490" t="s">
        <v>39</v>
      </c>
      <c r="E67" s="91">
        <f>'патриотика0,369'!D106</f>
        <v>10</v>
      </c>
    </row>
    <row r="68" spans="1:5" ht="12" customHeight="1" x14ac:dyDescent="0.25">
      <c r="A68" s="653"/>
      <c r="B68" s="651"/>
      <c r="C68" s="130" t="str">
        <f>'патриотика0,369'!A107</f>
        <v>Фотобумага 230 гр</v>
      </c>
      <c r="D68" s="490" t="s">
        <v>39</v>
      </c>
      <c r="E68" s="91">
        <f>'патриотика0,369'!D107</f>
        <v>10</v>
      </c>
    </row>
    <row r="69" spans="1:5" ht="12" customHeight="1" x14ac:dyDescent="0.25">
      <c r="A69" s="653"/>
      <c r="B69" s="651"/>
      <c r="C69" s="130" t="str">
        <f>'патриотика0,369'!A108</f>
        <v>Фотобумага 180 гр</v>
      </c>
      <c r="D69" s="490" t="s">
        <v>39</v>
      </c>
      <c r="E69" s="91">
        <f>'патриотика0,369'!D108</f>
        <v>10</v>
      </c>
    </row>
    <row r="70" spans="1:5" ht="12" customHeight="1" x14ac:dyDescent="0.25">
      <c r="A70" s="653"/>
      <c r="B70" s="651"/>
      <c r="C70" s="130" t="str">
        <f>'патриотика0,369'!A109</f>
        <v>Фотобумага 190 гр</v>
      </c>
      <c r="D70" s="490" t="s">
        <v>39</v>
      </c>
      <c r="E70" s="91">
        <f>'патриотика0,369'!D109</f>
        <v>20</v>
      </c>
    </row>
    <row r="71" spans="1:5" ht="12" customHeight="1" x14ac:dyDescent="0.25">
      <c r="A71" s="653"/>
      <c r="B71" s="651"/>
      <c r="C71" s="130" t="str">
        <f>'патриотика0,369'!A110</f>
        <v>перчатки белые для юнармейцев</v>
      </c>
      <c r="D71" s="490" t="s">
        <v>39</v>
      </c>
      <c r="E71" s="91">
        <f>'патриотика0,369'!D110</f>
        <v>10</v>
      </c>
    </row>
    <row r="72" spans="1:5" ht="12" customHeight="1" x14ac:dyDescent="0.25">
      <c r="A72" s="653"/>
      <c r="B72" s="651"/>
      <c r="C72" s="130" t="str">
        <f>'патриотика0,369'!A111</f>
        <v xml:space="preserve">Брюки ВКБО </v>
      </c>
      <c r="D72" s="490" t="s">
        <v>39</v>
      </c>
      <c r="E72" s="91">
        <f>'патриотика0,369'!D111</f>
        <v>2</v>
      </c>
    </row>
    <row r="73" spans="1:5" ht="12" customHeight="1" x14ac:dyDescent="0.25">
      <c r="A73" s="653"/>
      <c r="B73" s="651"/>
      <c r="C73" s="130" t="str">
        <f>'патриотика0,369'!A112</f>
        <v>Китель ВКБО</v>
      </c>
      <c r="D73" s="490" t="s">
        <v>39</v>
      </c>
      <c r="E73" s="91">
        <f>'патриотика0,369'!D112</f>
        <v>2</v>
      </c>
    </row>
    <row r="74" spans="1:5" ht="12" customHeight="1" x14ac:dyDescent="0.25">
      <c r="A74" s="653"/>
      <c r="B74" s="651"/>
      <c r="C74" s="130" t="str">
        <f>'патриотика0,369'!A113</f>
        <v>Шеврон вышитый Юнармия</v>
      </c>
      <c r="D74" s="490" t="s">
        <v>39</v>
      </c>
      <c r="E74" s="91">
        <f>'патриотика0,369'!D113</f>
        <v>20</v>
      </c>
    </row>
    <row r="75" spans="1:5" ht="12" customHeight="1" x14ac:dyDescent="0.25">
      <c r="A75" s="653"/>
      <c r="B75" s="651"/>
      <c r="C75" s="130" t="str">
        <f>'патриотика0,369'!A114</f>
        <v>Шарф красный Бнармия флис</v>
      </c>
      <c r="D75" s="490" t="s">
        <v>39</v>
      </c>
      <c r="E75" s="91">
        <f>'патриотика0,369'!D114</f>
        <v>16</v>
      </c>
    </row>
    <row r="76" spans="1:5" ht="12" customHeight="1" x14ac:dyDescent="0.25">
      <c r="A76" s="653"/>
      <c r="B76" s="651"/>
      <c r="C76" s="130" t="str">
        <f>'патриотика0,369'!A115</f>
        <v>Омон ботинки с высокими берцами</v>
      </c>
      <c r="D76" s="490" t="s">
        <v>39</v>
      </c>
      <c r="E76" s="91">
        <f>'патриотика0,369'!D115</f>
        <v>3</v>
      </c>
    </row>
    <row r="77" spans="1:5" ht="12" customHeight="1" x14ac:dyDescent="0.25">
      <c r="A77" s="653"/>
      <c r="B77" s="651"/>
      <c r="C77" s="130" t="str">
        <f>'патриотика0,369'!A116</f>
        <v>Бейсболка Юнармия</v>
      </c>
      <c r="D77" s="490" t="s">
        <v>39</v>
      </c>
      <c r="E77" s="91">
        <f>'патриотика0,369'!D116</f>
        <v>16</v>
      </c>
    </row>
    <row r="78" spans="1:5" ht="12" customHeight="1" x14ac:dyDescent="0.25">
      <c r="A78" s="653"/>
      <c r="B78" s="651"/>
      <c r="C78" s="130" t="str">
        <f>'патриотика0,369'!A117</f>
        <v>Флаг Юнармия 40*60</v>
      </c>
      <c r="D78" s="490" t="s">
        <v>39</v>
      </c>
      <c r="E78" s="91">
        <f>'патриотика0,369'!D117</f>
        <v>3</v>
      </c>
    </row>
    <row r="79" spans="1:5" ht="12" customHeight="1" x14ac:dyDescent="0.25">
      <c r="A79" s="653"/>
      <c r="B79" s="651"/>
      <c r="C79" s="130" t="str">
        <f>'патриотика0,369'!A118</f>
        <v>Флаг Юнармия 90*135</v>
      </c>
      <c r="D79" s="490" t="s">
        <v>39</v>
      </c>
      <c r="E79" s="91">
        <f>'патриотика0,369'!D118</f>
        <v>3</v>
      </c>
    </row>
    <row r="80" spans="1:5" ht="12" customHeight="1" x14ac:dyDescent="0.25">
      <c r="A80" s="653"/>
      <c r="B80" s="651"/>
      <c r="C80" s="130" t="str">
        <f>'патриотика0,369'!A119</f>
        <v>Жакет Юнармия</v>
      </c>
      <c r="D80" s="490" t="s">
        <v>39</v>
      </c>
      <c r="E80" s="91">
        <f>'патриотика0,369'!D119</f>
        <v>1</v>
      </c>
    </row>
    <row r="81" spans="1:5" ht="12" customHeight="1" x14ac:dyDescent="0.25">
      <c r="A81" s="653"/>
      <c r="B81" s="651"/>
      <c r="C81" s="130" t="str">
        <f>'патриотика0,369'!A120</f>
        <v>Полусапоги Армия с высокими берцами</v>
      </c>
      <c r="D81" s="490" t="s">
        <v>39</v>
      </c>
      <c r="E81" s="91">
        <f>'патриотика0,369'!D120</f>
        <v>3</v>
      </c>
    </row>
    <row r="82" spans="1:5" ht="12" customHeight="1" x14ac:dyDescent="0.25">
      <c r="A82" s="653"/>
      <c r="B82" s="651"/>
      <c r="C82" s="130" t="str">
        <f>'патриотика0,369'!A121</f>
        <v>Толстовка Юнармия</v>
      </c>
      <c r="D82" s="490" t="s">
        <v>39</v>
      </c>
      <c r="E82" s="91">
        <f>'патриотика0,369'!D121</f>
        <v>3</v>
      </c>
    </row>
    <row r="83" spans="1:5" ht="12" customHeight="1" x14ac:dyDescent="0.25">
      <c r="A83" s="653"/>
      <c r="B83" s="651"/>
      <c r="C83" s="130" t="str">
        <f>'патриотика0,369'!A122</f>
        <v>Брюки Юнармия плащевка</v>
      </c>
      <c r="D83" s="490" t="s">
        <v>39</v>
      </c>
      <c r="E83" s="91">
        <f>'патриотика0,369'!D122</f>
        <v>5</v>
      </c>
    </row>
    <row r="84" spans="1:5" ht="12" customHeight="1" x14ac:dyDescent="0.25">
      <c r="A84" s="653"/>
      <c r="B84" s="651"/>
      <c r="C84" s="130" t="str">
        <f>'патриотика0,369'!A123</f>
        <v>Куртка юнармия плащевка</v>
      </c>
      <c r="D84" s="490" t="s">
        <v>39</v>
      </c>
      <c r="E84" s="91">
        <f>'патриотика0,369'!D123</f>
        <v>4</v>
      </c>
    </row>
    <row r="85" spans="1:5" ht="12" customHeight="1" x14ac:dyDescent="0.25">
      <c r="A85" s="653"/>
      <c r="B85" s="651"/>
      <c r="C85" s="130" t="str">
        <f>'патриотика0,369'!A124</f>
        <v>Расходные материалы к мероприятиям</v>
      </c>
      <c r="D85" s="490" t="s">
        <v>39</v>
      </c>
      <c r="E85" s="91">
        <f>'патриотика0,369'!D124</f>
        <v>1</v>
      </c>
    </row>
    <row r="86" spans="1:5" ht="12" customHeight="1" x14ac:dyDescent="0.25">
      <c r="A86" s="653"/>
      <c r="B86" s="651"/>
      <c r="C86" s="130" t="str">
        <f>'патриотика0,369'!A125</f>
        <v>фоторамка А4 пластик</v>
      </c>
      <c r="D86" s="490" t="s">
        <v>39</v>
      </c>
      <c r="E86" s="91">
        <f>'патриотика0,369'!D125</f>
        <v>100</v>
      </c>
    </row>
    <row r="87" spans="1:5" ht="12" customHeight="1" x14ac:dyDescent="0.25">
      <c r="A87" s="653"/>
      <c r="B87" s="651"/>
      <c r="C87" s="130" t="str">
        <f>'патриотика0,369'!A126</f>
        <v>Проект "Флорбол" защитная майка вратаря</v>
      </c>
      <c r="D87" s="490" t="s">
        <v>39</v>
      </c>
      <c r="E87" s="91">
        <f>'патриотика0,369'!D126</f>
        <v>2</v>
      </c>
    </row>
    <row r="88" spans="1:5" ht="12" customHeight="1" x14ac:dyDescent="0.25">
      <c r="A88" s="653"/>
      <c r="B88" s="651"/>
      <c r="C88" s="130" t="str">
        <f>'патриотика0,369'!A127</f>
        <v>Проект "Флорбол" шлем вратаря</v>
      </c>
      <c r="D88" s="490" t="s">
        <v>39</v>
      </c>
      <c r="E88" s="91">
        <f>'патриотика0,369'!D127</f>
        <v>2</v>
      </c>
    </row>
    <row r="89" spans="1:5" ht="12" customHeight="1" x14ac:dyDescent="0.25">
      <c r="A89" s="653"/>
      <c r="B89" s="651"/>
      <c r="C89" s="130" t="str">
        <f>'патриотика0,369'!A128</f>
        <v>двп двухстор</v>
      </c>
      <c r="D89" s="490" t="s">
        <v>39</v>
      </c>
      <c r="E89" s="91">
        <f>'патриотика0,369'!D128</f>
        <v>5</v>
      </c>
    </row>
    <row r="90" spans="1:5" ht="12" customHeight="1" x14ac:dyDescent="0.25">
      <c r="A90" s="653"/>
      <c r="B90" s="651"/>
      <c r="C90" s="130" t="str">
        <f>'патриотика0,369'!A129</f>
        <v>фанера 1525*1525</v>
      </c>
      <c r="D90" s="490" t="s">
        <v>39</v>
      </c>
      <c r="E90" s="91">
        <f>'патриотика0,369'!D129</f>
        <v>4</v>
      </c>
    </row>
    <row r="91" spans="1:5" ht="12" customHeight="1" x14ac:dyDescent="0.25">
      <c r="A91" s="653"/>
      <c r="B91" s="651"/>
      <c r="C91" s="130" t="str">
        <f>'патриотика0,369'!A130</f>
        <v>брусок 50*50</v>
      </c>
      <c r="D91" s="490" t="s">
        <v>39</v>
      </c>
      <c r="E91" s="91">
        <f>'патриотика0,369'!D130</f>
        <v>10</v>
      </c>
    </row>
    <row r="92" spans="1:5" ht="12" customHeight="1" x14ac:dyDescent="0.25">
      <c r="A92" s="653"/>
      <c r="B92" s="651"/>
      <c r="C92" s="130" t="str">
        <f>'патриотика0,369'!A131</f>
        <v>паяльник</v>
      </c>
      <c r="D92" s="490" t="s">
        <v>39</v>
      </c>
      <c r="E92" s="91">
        <f>'патриотика0,369'!D131</f>
        <v>1</v>
      </c>
    </row>
    <row r="93" spans="1:5" ht="12" customHeight="1" x14ac:dyDescent="0.25">
      <c r="A93" s="653"/>
      <c r="B93" s="651"/>
      <c r="C93" s="130" t="str">
        <f>'патриотика0,369'!A132</f>
        <v>припой</v>
      </c>
      <c r="D93" s="490" t="s">
        <v>39</v>
      </c>
      <c r="E93" s="91">
        <f>'патриотика0,369'!D132</f>
        <v>1</v>
      </c>
    </row>
    <row r="94" spans="1:5" ht="12" customHeight="1" x14ac:dyDescent="0.25">
      <c r="A94" s="653"/>
      <c r="B94" s="651"/>
      <c r="C94" s="130" t="str">
        <f>'патриотика0,369'!A133</f>
        <v>профиль потолочный</v>
      </c>
      <c r="D94" s="490" t="s">
        <v>39</v>
      </c>
      <c r="E94" s="91">
        <f>'патриотика0,369'!D133</f>
        <v>2</v>
      </c>
    </row>
    <row r="95" spans="1:5" ht="12" customHeight="1" x14ac:dyDescent="0.25">
      <c r="A95" s="653"/>
      <c r="B95" s="651"/>
      <c r="C95" s="130" t="str">
        <f>'патриотика0,369'!A134</f>
        <v>ролик выкатной</v>
      </c>
      <c r="D95" s="490" t="s">
        <v>39</v>
      </c>
      <c r="E95" s="91">
        <f>'патриотика0,369'!D134</f>
        <v>4</v>
      </c>
    </row>
    <row r="96" spans="1:5" ht="12" customHeight="1" x14ac:dyDescent="0.25">
      <c r="A96" s="653"/>
      <c r="B96" s="651"/>
      <c r="C96" s="130" t="str">
        <f>'патриотика0,369'!A135</f>
        <v>ковролиновая дорожка</v>
      </c>
      <c r="D96" s="490" t="s">
        <v>39</v>
      </c>
      <c r="E96" s="91">
        <f>'патриотика0,369'!D135</f>
        <v>12.5</v>
      </c>
    </row>
    <row r="97" spans="1:5" ht="12" customHeight="1" x14ac:dyDescent="0.25">
      <c r="A97" s="653"/>
      <c r="B97" s="651"/>
      <c r="C97" s="130" t="str">
        <f>'патриотика0,369'!A136</f>
        <v>эмаль аэрозоль красная</v>
      </c>
      <c r="D97" s="490" t="s">
        <v>39</v>
      </c>
      <c r="E97" s="91">
        <f>'патриотика0,369'!D136</f>
        <v>1</v>
      </c>
    </row>
    <row r="98" spans="1:5" ht="12" customHeight="1" x14ac:dyDescent="0.25">
      <c r="A98" s="653"/>
      <c r="B98" s="651"/>
      <c r="C98" s="130" t="str">
        <f>'патриотика0,369'!A137</f>
        <v>эмаль аэрозоль зеленая</v>
      </c>
      <c r="D98" s="490" t="s">
        <v>39</v>
      </c>
      <c r="E98" s="91">
        <f>'патриотика0,369'!D137</f>
        <v>1</v>
      </c>
    </row>
    <row r="99" spans="1:5" ht="12" customHeight="1" x14ac:dyDescent="0.25">
      <c r="A99" s="653"/>
      <c r="B99" s="651"/>
      <c r="C99" s="130" t="str">
        <f>'патриотика0,369'!A138</f>
        <v>клей момент монтаж</v>
      </c>
      <c r="D99" s="490" t="s">
        <v>39</v>
      </c>
      <c r="E99" s="91">
        <f>'патриотика0,369'!D138</f>
        <v>5</v>
      </c>
    </row>
    <row r="100" spans="1:5" ht="12" customHeight="1" x14ac:dyDescent="0.25">
      <c r="A100" s="653"/>
      <c r="B100" s="651"/>
      <c r="C100" s="130" t="str">
        <f>'патриотика0,369'!A139</f>
        <v>кисть акор лаки</v>
      </c>
      <c r="D100" s="490" t="s">
        <v>39</v>
      </c>
      <c r="E100" s="91">
        <f>'патриотика0,369'!D139</f>
        <v>1</v>
      </c>
    </row>
    <row r="101" spans="1:5" ht="12" customHeight="1" x14ac:dyDescent="0.25">
      <c r="A101" s="653"/>
      <c r="B101" s="651"/>
      <c r="C101" s="130" t="str">
        <f>'патриотика0,369'!A140</f>
        <v>Наградная продукция к мероприятиям</v>
      </c>
      <c r="D101" s="490" t="s">
        <v>39</v>
      </c>
      <c r="E101" s="91">
        <f>'патриотика0,369'!D140</f>
        <v>1</v>
      </c>
    </row>
    <row r="102" spans="1:5" ht="12" customHeight="1" x14ac:dyDescent="0.25">
      <c r="A102" s="653"/>
      <c r="B102" s="651"/>
      <c r="C102" s="130" t="str">
        <f>'патриотика0,369'!A141</f>
        <v>набор посуды для пикника (солд каша)</v>
      </c>
      <c r="D102" s="490" t="s">
        <v>39</v>
      </c>
      <c r="E102" s="91">
        <f>'патриотика0,369'!D141</f>
        <v>12</v>
      </c>
    </row>
    <row r="103" spans="1:5" ht="12" customHeight="1" x14ac:dyDescent="0.25">
      <c r="A103" s="653"/>
      <c r="B103" s="651"/>
      <c r="C103" s="130" t="str">
        <f>'патриотика0,369'!A142</f>
        <v>Портативная газ плита (солд каша)</v>
      </c>
      <c r="D103" s="490" t="s">
        <v>39</v>
      </c>
      <c r="E103" s="91">
        <f>'патриотика0,369'!D142</f>
        <v>6</v>
      </c>
    </row>
    <row r="104" spans="1:5" ht="12" customHeight="1" x14ac:dyDescent="0.25">
      <c r="A104" s="653"/>
      <c r="B104" s="651"/>
      <c r="C104" s="130" t="str">
        <f>'патриотика0,369'!A143</f>
        <v>Георгиевская лента (бабина)</v>
      </c>
      <c r="D104" s="490" t="s">
        <v>39</v>
      </c>
      <c r="E104" s="91">
        <f>'патриотика0,369'!D143</f>
        <v>0</v>
      </c>
    </row>
    <row r="105" spans="1:5" ht="12" customHeight="1" x14ac:dyDescent="0.25">
      <c r="A105" s="653"/>
      <c r="B105" s="651"/>
      <c r="C105" s="130" t="str">
        <f>'патриотика0,369'!A144</f>
        <v>подсумок для мультититула</v>
      </c>
      <c r="D105" s="490" t="s">
        <v>39</v>
      </c>
      <c r="E105" s="91">
        <f>'патриотика0,369'!D144</f>
        <v>4</v>
      </c>
    </row>
    <row r="106" spans="1:5" ht="12" customHeight="1" x14ac:dyDescent="0.25">
      <c r="A106" s="653"/>
      <c r="B106" s="651"/>
      <c r="C106" s="130" t="str">
        <f>'патриотика0,369'!A145</f>
        <v>подсумок под радиостанцию</v>
      </c>
      <c r="D106" s="490" t="s">
        <v>39</v>
      </c>
      <c r="E106" s="91">
        <f>'патриотика0,369'!D145</f>
        <v>5</v>
      </c>
    </row>
    <row r="107" spans="1:5" ht="12" customHeight="1" x14ac:dyDescent="0.25">
      <c r="A107" s="653"/>
      <c r="B107" s="651"/>
      <c r="C107" s="130" t="str">
        <f>'патриотика0,369'!A146</f>
        <v>Учебный патрон 5,45*39</v>
      </c>
      <c r="D107" s="490" t="s">
        <v>39</v>
      </c>
      <c r="E107" s="91">
        <f>'патриотика0,369'!D146</f>
        <v>230</v>
      </c>
    </row>
    <row r="108" spans="1:5" ht="12" customHeight="1" x14ac:dyDescent="0.25">
      <c r="A108" s="653"/>
      <c r="B108" s="651"/>
      <c r="C108" s="130" t="str">
        <f>'патриотика0,369'!A147</f>
        <v>Учебный патрон 7,62*39</v>
      </c>
      <c r="D108" s="490" t="s">
        <v>39</v>
      </c>
      <c r="E108" s="91">
        <f>'патриотика0,369'!D147</f>
        <v>90</v>
      </c>
    </row>
    <row r="109" spans="1:5" ht="12" customHeight="1" x14ac:dyDescent="0.25">
      <c r="A109" s="653"/>
      <c r="B109" s="651"/>
      <c r="C109" s="130" t="str">
        <f>'патриотика0,369'!A148</f>
        <v>кофр для штык ножа</v>
      </c>
      <c r="D109" s="490" t="s">
        <v>39</v>
      </c>
      <c r="E109" s="91">
        <f>'патриотика0,369'!D148</f>
        <v>5</v>
      </c>
    </row>
    <row r="110" spans="1:5" ht="12" customHeight="1" x14ac:dyDescent="0.25">
      <c r="A110" s="653"/>
      <c r="B110" s="651"/>
      <c r="C110" s="130" t="str">
        <f>'патриотика0,369'!A149</f>
        <v>Баннер 2*3 День победы</v>
      </c>
      <c r="D110" s="490" t="s">
        <v>39</v>
      </c>
      <c r="E110" s="91">
        <f>'патриотика0,369'!D149</f>
        <v>1</v>
      </c>
    </row>
    <row r="111" spans="1:5" ht="12" customHeight="1" x14ac:dyDescent="0.25">
      <c r="A111" s="653"/>
      <c r="B111" s="651"/>
      <c r="C111" s="130" t="str">
        <f>'патриотика0,369'!A150</f>
        <v>вкладыш в лампаду</v>
      </c>
      <c r="D111" s="490" t="s">
        <v>39</v>
      </c>
      <c r="E111" s="91">
        <f>'патриотика0,369'!D150</f>
        <v>550</v>
      </c>
    </row>
    <row r="112" spans="1:5" ht="12" customHeight="1" x14ac:dyDescent="0.25">
      <c r="A112" s="653"/>
      <c r="B112" s="651"/>
      <c r="C112" s="130" t="str">
        <f>'патриотика0,369'!A151</f>
        <v>Лампада заливная неугасимая</v>
      </c>
      <c r="D112" s="490" t="s">
        <v>39</v>
      </c>
      <c r="E112" s="91">
        <f>'патриотика0,369'!D151</f>
        <v>560</v>
      </c>
    </row>
    <row r="113" spans="1:5" ht="12" customHeight="1" x14ac:dyDescent="0.25">
      <c r="A113" s="653"/>
      <c r="B113" s="651"/>
      <c r="C113" s="130" t="str">
        <f>'патриотика0,369'!A152</f>
        <v xml:space="preserve">Доска обрезная </v>
      </c>
      <c r="D113" s="490" t="s">
        <v>39</v>
      </c>
      <c r="E113" s="91">
        <f>'патриотика0,369'!D152</f>
        <v>1</v>
      </c>
    </row>
    <row r="114" spans="1:5" ht="12" customHeight="1" x14ac:dyDescent="0.25">
      <c r="A114" s="653"/>
      <c r="B114" s="651"/>
      <c r="C114" s="130" t="str">
        <f>'патриотика0,369'!A153</f>
        <v>Свеча мерцающая восковая</v>
      </c>
      <c r="D114" s="490" t="s">
        <v>39</v>
      </c>
      <c r="E114" s="91">
        <f>'патриотика0,369'!D153</f>
        <v>300</v>
      </c>
    </row>
    <row r="115" spans="1:5" ht="26.45" customHeight="1" x14ac:dyDescent="0.25">
      <c r="A115" s="653"/>
      <c r="B115" s="651"/>
      <c r="C115" s="654" t="s">
        <v>133</v>
      </c>
      <c r="D115" s="655"/>
      <c r="E115" s="656"/>
    </row>
    <row r="116" spans="1:5" ht="14.45" customHeight="1" x14ac:dyDescent="0.25">
      <c r="A116" s="653"/>
      <c r="B116" s="651"/>
      <c r="C116" s="654" t="s">
        <v>134</v>
      </c>
      <c r="D116" s="655"/>
      <c r="E116" s="656"/>
    </row>
    <row r="117" spans="1:5" ht="14.45" customHeight="1" x14ac:dyDescent="0.25">
      <c r="A117" s="653"/>
      <c r="B117" s="651"/>
      <c r="C117" s="135" t="str">
        <f>'натур показатели инновации+добр'!C78</f>
        <v>Теплоэнергия</v>
      </c>
      <c r="D117" s="136" t="str">
        <f>'натур показатели инновации+добр'!D78</f>
        <v>Гкал</v>
      </c>
      <c r="E117" s="137">
        <f>'патриотика0,369'!D198</f>
        <v>20.294999999999998</v>
      </c>
    </row>
    <row r="118" spans="1:5" ht="14.45" customHeight="1" x14ac:dyDescent="0.25">
      <c r="A118" s="653"/>
      <c r="B118" s="651"/>
      <c r="C118" s="135" t="str">
        <f>'натур показатели инновации+добр'!C79</f>
        <v xml:space="preserve">Водоснабжение </v>
      </c>
      <c r="D118" s="136" t="str">
        <f>'натур показатели инновации+добр'!D79</f>
        <v>м2</v>
      </c>
      <c r="E118" s="137">
        <f>'патриотика0,369'!D199</f>
        <v>39.224699999999999</v>
      </c>
    </row>
    <row r="119" spans="1:5" ht="14.45" customHeight="1" x14ac:dyDescent="0.25">
      <c r="A119" s="653"/>
      <c r="B119" s="651"/>
      <c r="C119" s="135" t="str">
        <f>'натур показатели инновации+добр'!C80</f>
        <v>Водоотведение (септик)</v>
      </c>
      <c r="D119" s="136" t="str">
        <f>'натур показатели инновации+добр'!D80</f>
        <v>м3</v>
      </c>
      <c r="E119" s="137">
        <f>'патриотика0,369'!D200</f>
        <v>0.73799999999999999</v>
      </c>
    </row>
    <row r="120" spans="1:5" ht="14.45" customHeight="1" x14ac:dyDescent="0.25">
      <c r="A120" s="653"/>
      <c r="B120" s="651"/>
      <c r="C120" s="135" t="str">
        <f>'натур показатели инновации+добр'!C81</f>
        <v>Электроэнергия</v>
      </c>
      <c r="D120" s="136" t="str">
        <f>'натур показатели инновации+добр'!D81</f>
        <v>МВт час.</v>
      </c>
      <c r="E120" s="137">
        <f>'патриотика0,369'!D201</f>
        <v>2.214</v>
      </c>
    </row>
    <row r="121" spans="1:5" ht="14.45" customHeight="1" x14ac:dyDescent="0.25">
      <c r="A121" s="653"/>
      <c r="B121" s="651"/>
      <c r="C121" s="135" t="str">
        <f>'натур показатели инновации+добр'!C82</f>
        <v>ТКО</v>
      </c>
      <c r="D121" s="136" t="str">
        <f>'натур показатели инновации+добр'!D82</f>
        <v>договор</v>
      </c>
      <c r="E121" s="137">
        <f>'патриотика0,369'!D202</f>
        <v>3.3209999999999997</v>
      </c>
    </row>
    <row r="122" spans="1:5" ht="14.45" customHeight="1" x14ac:dyDescent="0.25">
      <c r="A122" s="653"/>
      <c r="B122" s="651"/>
      <c r="C122" s="135" t="str">
        <f>'натур показатели инновации+добр'!C83</f>
        <v>Электроэнергия (резерв)</v>
      </c>
      <c r="D122" s="136" t="str">
        <f>'натур показатели инновации+добр'!D83</f>
        <v>МВт час.</v>
      </c>
      <c r="E122" s="137">
        <f>'патриотика0,369'!D203</f>
        <v>0.36899999999999999</v>
      </c>
    </row>
    <row r="123" spans="1:5" ht="39" customHeight="1" x14ac:dyDescent="0.25">
      <c r="A123" s="653"/>
      <c r="B123" s="651"/>
      <c r="C123" s="660" t="s">
        <v>135</v>
      </c>
      <c r="D123" s="661"/>
      <c r="E123" s="662"/>
    </row>
    <row r="124" spans="1:5" ht="23.25" customHeight="1" x14ac:dyDescent="0.25">
      <c r="A124" s="653"/>
      <c r="B124" s="651"/>
      <c r="C124" s="138" t="str">
        <f>'патриотика0,369'!A249</f>
        <v>текущий ремонт отмостки и системы отвода дождевой воды здания МБУ "МЦ "АУРУМ"</v>
      </c>
      <c r="D124" s="249" t="str">
        <f>'патриотика0,369'!B249</f>
        <v>договор</v>
      </c>
      <c r="E124" s="249">
        <f>'патриотика0,369'!D249</f>
        <v>0.36899999999999999</v>
      </c>
    </row>
    <row r="125" spans="1:5" ht="22.5" customHeight="1" x14ac:dyDescent="0.25">
      <c r="A125" s="653"/>
      <c r="B125" s="651"/>
      <c r="C125" s="138" t="str">
        <f>'патриотика0,369'!A250</f>
        <v xml:space="preserve">Мониторинг систем пожарной сигнализации  </v>
      </c>
      <c r="D125" s="249" t="str">
        <f>'патриотика0,369'!B250</f>
        <v>договор</v>
      </c>
      <c r="E125" s="249">
        <f>'патриотика0,369'!D250</f>
        <v>4.4279999999999999</v>
      </c>
    </row>
    <row r="126" spans="1:5" ht="15" customHeight="1" x14ac:dyDescent="0.25">
      <c r="A126" s="653"/>
      <c r="B126" s="651"/>
      <c r="C126" s="138" t="str">
        <f>'патриотика0,369'!A251</f>
        <v xml:space="preserve">Уборка территории от снега </v>
      </c>
      <c r="D126" s="249" t="str">
        <f>'патриотика0,369'!B251</f>
        <v>договор</v>
      </c>
      <c r="E126" s="249">
        <f>'патриотика0,369'!D251</f>
        <v>0.73799999999999999</v>
      </c>
    </row>
    <row r="127" spans="1:5" ht="15" customHeight="1" x14ac:dyDescent="0.25">
      <c r="A127" s="653"/>
      <c r="B127" s="651"/>
      <c r="C127" s="138" t="str">
        <f>'патриотика0,369'!A252</f>
        <v>Профилактическая дезинфекция</v>
      </c>
      <c r="D127" s="249" t="str">
        <f>'патриотика0,369'!B252</f>
        <v>договор</v>
      </c>
      <c r="E127" s="249">
        <f>'патриотика0,369'!D252</f>
        <v>1.476</v>
      </c>
    </row>
    <row r="128" spans="1:5" ht="15" customHeight="1" x14ac:dyDescent="0.25">
      <c r="A128" s="653"/>
      <c r="B128" s="651"/>
      <c r="C128" s="138" t="str">
        <f>'патриотика0,369'!A253</f>
        <v>Обслуживание системы видеонаблюдения</v>
      </c>
      <c r="D128" s="249" t="str">
        <f>'патриотика0,369'!B253</f>
        <v>договор</v>
      </c>
      <c r="E128" s="249">
        <f>'патриотика0,369'!D253</f>
        <v>4.4279999999999999</v>
      </c>
    </row>
    <row r="129" spans="1:5" ht="15" customHeight="1" x14ac:dyDescent="0.25">
      <c r="A129" s="653"/>
      <c r="B129" s="651"/>
      <c r="C129" s="138" t="str">
        <f>'патриотика0,369'!A254</f>
        <v>Комплексное обслуживание системы тепловодоснабжения и конструктивных элементов здания</v>
      </c>
      <c r="D129" s="249" t="str">
        <f>'патриотика0,369'!B254</f>
        <v>договор</v>
      </c>
      <c r="E129" s="249">
        <f>'патриотика0,369'!D254</f>
        <v>0.36899999999999999</v>
      </c>
    </row>
    <row r="130" spans="1:5" ht="15" customHeight="1" x14ac:dyDescent="0.25">
      <c r="A130" s="653"/>
      <c r="B130" s="651"/>
      <c r="C130" s="138" t="str">
        <f>'патриотика0,369'!A255</f>
        <v>Договор осмотр технического состояния автомобиля</v>
      </c>
      <c r="D130" s="249" t="str">
        <f>'патриотика0,369'!B255</f>
        <v>договор</v>
      </c>
      <c r="E130" s="249">
        <f>'патриотика0,369'!D255</f>
        <v>55.35</v>
      </c>
    </row>
    <row r="131" spans="1:5" ht="15" customHeight="1" x14ac:dyDescent="0.25">
      <c r="A131" s="653"/>
      <c r="B131" s="651"/>
      <c r="C131" s="138" t="str">
        <f>'патриотика0,369'!A256</f>
        <v>Техническое обслуживание систем пожарной сигнализации</v>
      </c>
      <c r="D131" s="249" t="str">
        <f>'патриотика0,369'!B256</f>
        <v>договор</v>
      </c>
      <c r="E131" s="249">
        <f>'патриотика0,369'!D256</f>
        <v>4.4279999999999999</v>
      </c>
    </row>
    <row r="132" spans="1:5" ht="15" customHeight="1" x14ac:dyDescent="0.25">
      <c r="A132" s="653"/>
      <c r="B132" s="651"/>
      <c r="C132" s="138" t="str">
        <f>'патриотика0,369'!A257</f>
        <v>Заправка катриджей</v>
      </c>
      <c r="D132" s="249" t="str">
        <f>'патриотика0,369'!B257</f>
        <v>договор</v>
      </c>
      <c r="E132" s="249">
        <f>'патриотика0,369'!D257</f>
        <v>3.69</v>
      </c>
    </row>
    <row r="133" spans="1:5" ht="15" customHeight="1" x14ac:dyDescent="0.25">
      <c r="A133" s="653"/>
      <c r="B133" s="651"/>
      <c r="C133" s="138" t="str">
        <f>'патриотика0,369'!A258</f>
        <v>ремонт оборудования</v>
      </c>
      <c r="D133" s="249" t="str">
        <f>'патриотика0,369'!B258</f>
        <v>договор</v>
      </c>
      <c r="E133" s="249">
        <f>'патриотика0,369'!D258</f>
        <v>0.36899999999999999</v>
      </c>
    </row>
    <row r="134" spans="1:5" ht="15" customHeight="1" x14ac:dyDescent="0.25">
      <c r="A134" s="653"/>
      <c r="B134" s="651"/>
      <c r="C134" s="138" t="str">
        <f>'патриотика0,369'!A259</f>
        <v>монтаж системы видеонаблюдения</v>
      </c>
      <c r="D134" s="249" t="str">
        <f>'патриотика0,369'!B260</f>
        <v>договор</v>
      </c>
      <c r="E134" s="249">
        <f>'патриотика0,369'!D259</f>
        <v>0.36899999999999999</v>
      </c>
    </row>
    <row r="135" spans="1:5" ht="15" customHeight="1" x14ac:dyDescent="0.25">
      <c r="A135" s="653"/>
      <c r="B135" s="651"/>
      <c r="C135" s="138" t="str">
        <f>'патриотика0,369'!A260</f>
        <v>Медосмотр при устройстве на работу</v>
      </c>
      <c r="D135" s="249"/>
      <c r="E135" s="249">
        <f>'патриотика0,369'!D260</f>
        <v>0.73799999999999999</v>
      </c>
    </row>
    <row r="136" spans="1:5" ht="15" customHeight="1" x14ac:dyDescent="0.25">
      <c r="A136" s="653"/>
      <c r="B136" s="651"/>
      <c r="C136" s="138" t="str">
        <f>'патриотика0,369'!A261</f>
        <v>Услуги СЕМИС подписка</v>
      </c>
      <c r="D136" s="249" t="str">
        <f>'патриотика0,369'!B261</f>
        <v>договор</v>
      </c>
      <c r="E136" s="249">
        <f>'патриотика0,369'!D261</f>
        <v>0.36899999999999999</v>
      </c>
    </row>
    <row r="137" spans="1:5" ht="15" customHeight="1" x14ac:dyDescent="0.25">
      <c r="A137" s="653"/>
      <c r="B137" s="651"/>
      <c r="C137" s="138" t="str">
        <f>'патриотика0,369'!A262</f>
        <v>Предрейсовое медицинское обследование 200дней*85руб</v>
      </c>
      <c r="D137" s="249" t="str">
        <f>'патриотика0,369'!B262</f>
        <v>договор</v>
      </c>
      <c r="E137" s="249">
        <f>'патриотика0,369'!D262</f>
        <v>55.35</v>
      </c>
    </row>
    <row r="138" spans="1:5" ht="24.75" customHeight="1" x14ac:dyDescent="0.25">
      <c r="A138" s="653"/>
      <c r="B138" s="651"/>
      <c r="C138" s="138" t="str">
        <f>'патриотика0,369'!A263</f>
        <v xml:space="preserve">Услуги охраны  </v>
      </c>
      <c r="D138" s="249" t="str">
        <f>'патриотика0,369'!B263</f>
        <v>договор</v>
      </c>
      <c r="E138" s="249">
        <f>'патриотика0,369'!D263</f>
        <v>4.4279999999999999</v>
      </c>
    </row>
    <row r="139" spans="1:5" ht="17.25" customHeight="1" x14ac:dyDescent="0.25">
      <c r="A139" s="653"/>
      <c r="B139" s="651"/>
      <c r="C139" s="138" t="str">
        <f>'патриотика0,369'!A264</f>
        <v>Обслуживание систем охранных средств сигнализации (тревожная кнопка)</v>
      </c>
      <c r="D139" s="249" t="str">
        <f>'патриотика0,369'!B276</f>
        <v>договор</v>
      </c>
      <c r="E139" s="249">
        <f>'патриотика0,369'!D264</f>
        <v>4.4279999999999999</v>
      </c>
    </row>
    <row r="140" spans="1:5" ht="15" customHeight="1" x14ac:dyDescent="0.25">
      <c r="A140" s="653"/>
      <c r="B140" s="651"/>
      <c r="C140" s="138" t="str">
        <f>'патриотика0,369'!A265</f>
        <v>Страховая премия по полису ОСАГО за УАЗ</v>
      </c>
      <c r="D140" s="249" t="str">
        <f>'патриотика0,369'!B277</f>
        <v>договор</v>
      </c>
      <c r="E140" s="249">
        <f>'патриотика0,369'!D265</f>
        <v>0.36899999999999999</v>
      </c>
    </row>
    <row r="141" spans="1:5" ht="15" customHeight="1" x14ac:dyDescent="0.25">
      <c r="A141" s="653"/>
      <c r="B141" s="651"/>
      <c r="C141" s="138" t="str">
        <f>'патриотика0,369'!A266</f>
        <v>Диагностика бытовой и оргтехники для определения возможности ее дальнейшего использования (244/226)</v>
      </c>
      <c r="D141" s="249" t="str">
        <f>'патриотика0,369'!B278</f>
        <v>договор</v>
      </c>
      <c r="E141" s="249">
        <f>'патриотика0,369'!D266</f>
        <v>0.36899999999999999</v>
      </c>
    </row>
    <row r="142" spans="1:5" ht="15" customHeight="1" x14ac:dyDescent="0.25">
      <c r="A142" s="653"/>
      <c r="B142" s="651"/>
      <c r="C142" s="138" t="str">
        <f>'патриотика0,369'!A267</f>
        <v>Изготовление снежных фигур</v>
      </c>
      <c r="D142" s="249" t="str">
        <f>'патриотика0,369'!B279</f>
        <v>договор</v>
      </c>
      <c r="E142" s="249">
        <f>'патриотика0,369'!D267</f>
        <v>0.36899999999999999</v>
      </c>
    </row>
    <row r="143" spans="1:5" ht="15" customHeight="1" x14ac:dyDescent="0.25">
      <c r="A143" s="653"/>
      <c r="B143" s="651"/>
      <c r="C143" s="138" t="str">
        <f>'патриотика0,369'!A268</f>
        <v>изготовление банера</v>
      </c>
      <c r="D143" s="249" t="str">
        <f>'патриотика0,369'!B280</f>
        <v>договор</v>
      </c>
      <c r="E143" s="249">
        <f>'патриотика0,369'!D268</f>
        <v>0.36899999999999999</v>
      </c>
    </row>
    <row r="144" spans="1:5" ht="28.5" customHeight="1" x14ac:dyDescent="0.25">
      <c r="A144" s="653"/>
      <c r="B144" s="651"/>
      <c r="C144" s="138" t="str">
        <f>'патриотика0,369'!A269</f>
        <v>Приобретение программного обеспечения</v>
      </c>
      <c r="D144" s="249" t="str">
        <f>'патриотика0,369'!B280</f>
        <v>договор</v>
      </c>
      <c r="E144" s="249">
        <f>'патриотика0,369'!D269</f>
        <v>1.476</v>
      </c>
    </row>
    <row r="145" spans="1:5" ht="15" hidden="1" customHeight="1" x14ac:dyDescent="0.25">
      <c r="A145" s="653"/>
      <c r="B145" s="651"/>
      <c r="C145" s="138">
        <f>'патриотика0,369'!A270</f>
        <v>0</v>
      </c>
      <c r="D145" s="249" t="str">
        <f>'патриотика0,369'!B281</f>
        <v>договор</v>
      </c>
      <c r="E145" s="249">
        <f>'патриотика0,369'!D270</f>
        <v>0</v>
      </c>
    </row>
    <row r="146" spans="1:5" ht="15" hidden="1" customHeight="1" x14ac:dyDescent="0.25">
      <c r="A146" s="653"/>
      <c r="B146" s="651"/>
      <c r="C146" s="138">
        <f>'патриотика0,369'!A271</f>
        <v>0</v>
      </c>
      <c r="D146" s="249" t="str">
        <f>'патриотика0,369'!B282</f>
        <v>договор</v>
      </c>
      <c r="E146" s="249">
        <f>'патриотика0,369'!D271</f>
        <v>0</v>
      </c>
    </row>
    <row r="147" spans="1:5" ht="15" hidden="1" customHeight="1" x14ac:dyDescent="0.25">
      <c r="A147" s="653"/>
      <c r="B147" s="651"/>
      <c r="C147" s="138">
        <f>'патриотика0,369'!A272</f>
        <v>0</v>
      </c>
      <c r="D147" s="249" t="str">
        <f>'патриотика0,369'!B283</f>
        <v>договор</v>
      </c>
      <c r="E147" s="249">
        <f>'патриотика0,369'!D272</f>
        <v>0</v>
      </c>
    </row>
    <row r="148" spans="1:5" ht="15" hidden="1" customHeight="1" x14ac:dyDescent="0.25">
      <c r="A148" s="653"/>
      <c r="B148" s="651"/>
      <c r="C148" s="138">
        <f>'патриотика0,369'!A273</f>
        <v>0</v>
      </c>
      <c r="D148" s="249" t="str">
        <f>D147</f>
        <v>договор</v>
      </c>
      <c r="E148" s="249">
        <f>'патриотика0,369'!D273</f>
        <v>0.36899999999999999</v>
      </c>
    </row>
    <row r="149" spans="1:5" ht="15" hidden="1" customHeight="1" x14ac:dyDescent="0.25">
      <c r="A149" s="653"/>
      <c r="B149" s="651"/>
      <c r="C149" s="138">
        <f>'патриотика0,369'!A274</f>
        <v>0</v>
      </c>
      <c r="D149" s="249" t="str">
        <f>D147</f>
        <v>договор</v>
      </c>
      <c r="E149" s="249">
        <f>'патриотика0,369'!D274</f>
        <v>0.36899999999999999</v>
      </c>
    </row>
    <row r="150" spans="1:5" ht="15" hidden="1" customHeight="1" x14ac:dyDescent="0.25">
      <c r="A150" s="653"/>
      <c r="B150" s="651"/>
      <c r="C150" s="138">
        <f>'патриотика0,369'!A275</f>
        <v>0</v>
      </c>
      <c r="D150" s="249" t="str">
        <f>D147</f>
        <v>договор</v>
      </c>
      <c r="E150" s="249">
        <f>'патриотика0,369'!D275</f>
        <v>0.36899999999999999</v>
      </c>
    </row>
    <row r="151" spans="1:5" ht="15" hidden="1" customHeight="1" x14ac:dyDescent="0.25">
      <c r="A151" s="653"/>
      <c r="B151" s="651"/>
      <c r="C151" s="138">
        <f>'патриотика0,369'!A276</f>
        <v>0</v>
      </c>
      <c r="D151" s="249" t="str">
        <f>D147</f>
        <v>договор</v>
      </c>
      <c r="E151" s="249">
        <f>'патриотика0,369'!D276</f>
        <v>0.36899999999999999</v>
      </c>
    </row>
    <row r="152" spans="1:5" ht="15" hidden="1" customHeight="1" x14ac:dyDescent="0.25">
      <c r="A152" s="653"/>
      <c r="B152" s="651"/>
      <c r="C152" s="138">
        <f>'патриотика0,369'!A277</f>
        <v>0</v>
      </c>
      <c r="D152" s="249" t="str">
        <f>D147</f>
        <v>договор</v>
      </c>
      <c r="E152" s="249">
        <f>'патриотика0,369'!D277</f>
        <v>0.36899999999999999</v>
      </c>
    </row>
    <row r="153" spans="1:5" ht="15" hidden="1" customHeight="1" x14ac:dyDescent="0.25">
      <c r="A153" s="653"/>
      <c r="B153" s="651"/>
      <c r="C153" s="138">
        <f>'патриотика0,369'!A278</f>
        <v>0</v>
      </c>
      <c r="D153" s="249" t="str">
        <f>D147</f>
        <v>договор</v>
      </c>
      <c r="E153" s="249">
        <f>'патриотика0,369'!D278</f>
        <v>0.36899999999999999</v>
      </c>
    </row>
    <row r="154" spans="1:5" ht="15" hidden="1" customHeight="1" x14ac:dyDescent="0.25">
      <c r="A154" s="653"/>
      <c r="B154" s="651"/>
      <c r="C154" s="138">
        <f>'патриотика0,369'!A279</f>
        <v>0</v>
      </c>
      <c r="D154" s="249" t="str">
        <f>'патриотика0,369'!B292</f>
        <v>шт</v>
      </c>
      <c r="E154" s="249">
        <f>'патриотика0,369'!D279</f>
        <v>0.36899999999999999</v>
      </c>
    </row>
    <row r="155" spans="1:5" ht="15" hidden="1" customHeight="1" x14ac:dyDescent="0.25">
      <c r="A155" s="653"/>
      <c r="B155" s="651"/>
      <c r="C155" s="138">
        <f>'патриотика0,369'!A280</f>
        <v>0</v>
      </c>
      <c r="D155" s="249" t="str">
        <f>'патриотика0,369'!B294</f>
        <v>шт</v>
      </c>
      <c r="E155" s="249">
        <f>'патриотика0,369'!D280</f>
        <v>0.36899999999999999</v>
      </c>
    </row>
    <row r="156" spans="1:5" ht="15" hidden="1" customHeight="1" x14ac:dyDescent="0.25">
      <c r="A156" s="653"/>
      <c r="B156" s="651"/>
      <c r="C156" s="138">
        <f>'патриотика0,369'!A281</f>
        <v>0</v>
      </c>
      <c r="D156" s="249" t="str">
        <f>'патриотика0,369'!B296</f>
        <v>шт</v>
      </c>
      <c r="E156" s="249">
        <f>'патриотика0,369'!D281</f>
        <v>0.36899999999999999</v>
      </c>
    </row>
    <row r="157" spans="1:5" ht="15" hidden="1" customHeight="1" x14ac:dyDescent="0.25">
      <c r="A157" s="653"/>
      <c r="B157" s="651"/>
      <c r="C157" s="138">
        <f>'патриотика0,369'!A282</f>
        <v>0</v>
      </c>
      <c r="D157" s="249" t="str">
        <f>'патриотика0,369'!B297</f>
        <v>шт</v>
      </c>
      <c r="E157" s="249">
        <f>'патриотика0,369'!D282</f>
        <v>0.36899999999999999</v>
      </c>
    </row>
    <row r="158" spans="1:5" ht="15" hidden="1" customHeight="1" x14ac:dyDescent="0.25">
      <c r="A158" s="653"/>
      <c r="B158" s="651"/>
      <c r="C158" s="138">
        <f>'патриотика0,369'!A283</f>
        <v>0</v>
      </c>
      <c r="D158" s="249" t="str">
        <f>'патриотика0,369'!B298</f>
        <v>шт</v>
      </c>
      <c r="E158" s="249">
        <f>'патриотика0,369'!D283</f>
        <v>0.36899999999999999</v>
      </c>
    </row>
    <row r="159" spans="1:5" ht="12" customHeight="1" x14ac:dyDescent="0.25">
      <c r="A159" s="653"/>
      <c r="B159" s="651"/>
      <c r="C159" s="657" t="s">
        <v>136</v>
      </c>
      <c r="D159" s="658"/>
      <c r="E159" s="659"/>
    </row>
    <row r="160" spans="1:5" ht="14.45" hidden="1" customHeight="1" x14ac:dyDescent="0.25">
      <c r="A160" s="653"/>
      <c r="B160" s="651"/>
      <c r="C160" s="139" t="str">
        <f>'инновации+добровольчество0,369'!A198</f>
        <v>переговоры по району, мин</v>
      </c>
      <c r="D160" s="101" t="s">
        <v>84</v>
      </c>
      <c r="E160" s="233">
        <f>'патриотика0,369'!D230</f>
        <v>0</v>
      </c>
    </row>
    <row r="161" spans="1:5" ht="12" customHeight="1" x14ac:dyDescent="0.25">
      <c r="A161" s="653"/>
      <c r="B161" s="651"/>
      <c r="C161" s="139" t="str">
        <f>'инновации+добровольчество0,369'!A199</f>
        <v>Переговоры за пределами района,мин</v>
      </c>
      <c r="D161" s="101" t="s">
        <v>22</v>
      </c>
      <c r="E161" s="233">
        <f>'патриотика0,369'!D231</f>
        <v>3.6973799999999999</v>
      </c>
    </row>
    <row r="162" spans="1:5" ht="12" customHeight="1" x14ac:dyDescent="0.25">
      <c r="A162" s="653"/>
      <c r="B162" s="651"/>
      <c r="C162" s="139" t="str">
        <f>'инновации+добровольчество0,369'!A200</f>
        <v>Абоненская плата за услуги связи, номеров</v>
      </c>
      <c r="D162" s="101" t="s">
        <v>37</v>
      </c>
      <c r="E162" s="233">
        <f>'патриотика0,369'!D232</f>
        <v>0.36899999999999999</v>
      </c>
    </row>
    <row r="163" spans="1:5" ht="12" customHeight="1" x14ac:dyDescent="0.25">
      <c r="A163" s="653"/>
      <c r="B163" s="651"/>
      <c r="C163" s="139" t="str">
        <f>'инновации+добровольчество0,369'!A201</f>
        <v xml:space="preserve">Абоненская плата за услуги Интернет </v>
      </c>
      <c r="D163" s="101" t="s">
        <v>37</v>
      </c>
      <c r="E163" s="233">
        <f>'патриотика0,369'!D233</f>
        <v>0.36899999999999999</v>
      </c>
    </row>
    <row r="164" spans="1:5" ht="12" customHeight="1" x14ac:dyDescent="0.25">
      <c r="A164" s="653"/>
      <c r="B164" s="651"/>
      <c r="C164" s="139" t="str">
        <f>'инновации+добровольчество0,369'!A202</f>
        <v>Почтовые конверты</v>
      </c>
      <c r="D164" s="101" t="s">
        <v>38</v>
      </c>
      <c r="E164" s="233">
        <f>'патриотика0,369'!D234</f>
        <v>1.845</v>
      </c>
    </row>
    <row r="165" spans="1:5" ht="12" hidden="1" customHeight="1" x14ac:dyDescent="0.25">
      <c r="A165" s="653"/>
      <c r="B165" s="651"/>
      <c r="C165" s="139" t="e">
        <f>'инновации+добровольчество0,369'!#REF!</f>
        <v>#REF!</v>
      </c>
      <c r="D165" s="101" t="s">
        <v>38</v>
      </c>
      <c r="E165" s="233" t="e">
        <f>'патриотика0,369'!#REF!</f>
        <v>#REF!</v>
      </c>
    </row>
    <row r="166" spans="1:5" ht="12" hidden="1" customHeight="1" x14ac:dyDescent="0.25">
      <c r="A166" s="653"/>
      <c r="B166" s="651"/>
      <c r="C166" s="139" t="e">
        <f>'инновации+добровольчество0,369'!#REF!</f>
        <v>#REF!</v>
      </c>
      <c r="D166" s="101" t="s">
        <v>22</v>
      </c>
      <c r="E166" s="233" t="e">
        <f>'патриотика0,369'!#REF!</f>
        <v>#REF!</v>
      </c>
    </row>
    <row r="167" spans="1:5" ht="22.5" customHeight="1" x14ac:dyDescent="0.25">
      <c r="A167" s="653"/>
      <c r="B167" s="651"/>
      <c r="C167" s="663" t="s">
        <v>137</v>
      </c>
      <c r="D167" s="664"/>
      <c r="E167" s="665"/>
    </row>
    <row r="168" spans="1:5" ht="21" customHeight="1" x14ac:dyDescent="0.25">
      <c r="A168" s="653"/>
      <c r="B168" s="651"/>
      <c r="C168" s="110" t="str">
        <f>'натур показатели инновации+добр'!C128</f>
        <v>Заведующий МЦ</v>
      </c>
      <c r="D168" s="140" t="s">
        <v>141</v>
      </c>
      <c r="E168" s="221">
        <f>'патриотика0,369'!D166</f>
        <v>0.36899999999999999</v>
      </c>
    </row>
    <row r="169" spans="1:5" ht="12" customHeight="1" x14ac:dyDescent="0.25">
      <c r="A169" s="653"/>
      <c r="B169" s="651"/>
      <c r="C169" s="119" t="s">
        <v>139</v>
      </c>
      <c r="D169" s="140" t="s">
        <v>132</v>
      </c>
      <c r="E169" s="334">
        <f>'патриотика0,369'!D167</f>
        <v>0.36899999999999999</v>
      </c>
    </row>
    <row r="170" spans="1:5" ht="12" customHeight="1" x14ac:dyDescent="0.25">
      <c r="A170" s="653"/>
      <c r="B170" s="651"/>
      <c r="C170" s="119" t="s">
        <v>85</v>
      </c>
      <c r="D170" s="140" t="s">
        <v>132</v>
      </c>
      <c r="E170" s="334">
        <f>'патриотика0,369'!D168</f>
        <v>0.1845</v>
      </c>
    </row>
    <row r="171" spans="1:5" ht="12" customHeight="1" x14ac:dyDescent="0.25">
      <c r="A171" s="653"/>
      <c r="B171" s="651"/>
      <c r="C171" s="119" t="s">
        <v>140</v>
      </c>
      <c r="D171" s="140" t="s">
        <v>132</v>
      </c>
      <c r="E171" s="334">
        <f>'патриотика0,369'!D169</f>
        <v>0.36899999999999999</v>
      </c>
    </row>
    <row r="172" spans="1:5" ht="12" customHeight="1" x14ac:dyDescent="0.25">
      <c r="A172" s="653"/>
      <c r="B172" s="651"/>
      <c r="C172" s="523" t="s">
        <v>144</v>
      </c>
      <c r="D172" s="524"/>
      <c r="E172" s="525"/>
    </row>
    <row r="173" spans="1:5" ht="28.15" customHeight="1" x14ac:dyDescent="0.25">
      <c r="A173" s="653"/>
      <c r="B173" s="651"/>
      <c r="C173" s="121" t="str">
        <f>'инновации+добровольчество0,369'!A167</f>
        <v>Пособие по уходу за ребенком до 3-х лет</v>
      </c>
      <c r="D173" s="122" t="s">
        <v>120</v>
      </c>
      <c r="E173" s="234">
        <f>E168</f>
        <v>0.36899999999999999</v>
      </c>
    </row>
    <row r="174" spans="1:5" ht="25.9" hidden="1" customHeight="1" x14ac:dyDescent="0.25">
      <c r="A174" s="653"/>
      <c r="B174" s="651"/>
      <c r="C174" s="663" t="s">
        <v>145</v>
      </c>
      <c r="D174" s="664"/>
      <c r="E174" s="665"/>
    </row>
    <row r="175" spans="1:5" ht="40.15" hidden="1" customHeight="1" x14ac:dyDescent="0.25">
      <c r="A175" s="653"/>
      <c r="B175" s="651"/>
      <c r="C175" s="120" t="s">
        <v>194</v>
      </c>
      <c r="D175" s="101" t="s">
        <v>39</v>
      </c>
      <c r="E175" s="231">
        <f>'патриотика0,369'!E221</f>
        <v>28.044</v>
      </c>
    </row>
    <row r="176" spans="1:5" ht="25.9" hidden="1" customHeight="1" x14ac:dyDescent="0.25">
      <c r="A176" s="653"/>
      <c r="B176" s="651"/>
      <c r="C176" s="120" t="s">
        <v>195</v>
      </c>
      <c r="D176" s="101" t="s">
        <v>39</v>
      </c>
      <c r="E176" s="231">
        <f>'патриотика0,369'!E222</f>
        <v>7.0110000000000001</v>
      </c>
    </row>
    <row r="177" spans="1:5" ht="24" hidden="1" customHeight="1" x14ac:dyDescent="0.25">
      <c r="A177" s="653"/>
      <c r="B177" s="651"/>
      <c r="C177" s="120" t="s">
        <v>196</v>
      </c>
      <c r="D177" s="101" t="s">
        <v>39</v>
      </c>
      <c r="E177" s="231">
        <f>'патриотика0,369'!E223</f>
        <v>21.033000000000001</v>
      </c>
    </row>
    <row r="178" spans="1:5" ht="21" customHeight="1" x14ac:dyDescent="0.25">
      <c r="A178" s="653"/>
      <c r="B178" s="651"/>
      <c r="C178" s="526" t="s">
        <v>146</v>
      </c>
      <c r="D178" s="527"/>
      <c r="E178" s="528"/>
    </row>
    <row r="179" spans="1:5" ht="18.600000000000001" customHeight="1" x14ac:dyDescent="0.25">
      <c r="A179" s="653"/>
      <c r="B179" s="651"/>
      <c r="C179" s="123" t="str">
        <f>'инновации+добровольчество0,369'!A210</f>
        <v>Провоз груза 2000 кг (1 кг=9,50 руб)</v>
      </c>
      <c r="D179" s="124" t="s">
        <v>22</v>
      </c>
      <c r="E179" s="84">
        <f>'патриотика0,369'!D242</f>
        <v>0.36899999999999999</v>
      </c>
    </row>
    <row r="180" spans="1:5" ht="12" customHeight="1" x14ac:dyDescent="0.25">
      <c r="A180" s="653"/>
      <c r="B180" s="651"/>
      <c r="C180" s="657" t="s">
        <v>147</v>
      </c>
      <c r="D180" s="658"/>
      <c r="E180" s="659"/>
    </row>
    <row r="181" spans="1:5" ht="14.45" customHeight="1" x14ac:dyDescent="0.25">
      <c r="A181" s="653"/>
      <c r="B181" s="651"/>
      <c r="C181" s="111" t="str">
        <f>'патриотика0,369'!A290</f>
        <v>Обучение электроустановки</v>
      </c>
      <c r="D181" s="67" t="str">
        <f>'натур показатели инновации+добр'!D144</f>
        <v>шт</v>
      </c>
      <c r="E181" s="169">
        <f>'патриотика0,369'!D292</f>
        <v>0.36899999999999999</v>
      </c>
    </row>
    <row r="182" spans="1:5" ht="14.45" customHeight="1" x14ac:dyDescent="0.25">
      <c r="A182" s="653"/>
      <c r="B182" s="651"/>
      <c r="C182" s="111" t="str">
        <f>'натур показатели инновации+добр'!C145</f>
        <v>Кисть Акор "ЭКСПЕРТ"КФ- 25*8 натур.щетина /10/1050/</v>
      </c>
      <c r="D182" s="67" t="str">
        <f>'натур показатели инновации+добр'!D145</f>
        <v>шт</v>
      </c>
      <c r="E182" s="169">
        <f>'патриотика0,369'!D293</f>
        <v>0.36899999999999999</v>
      </c>
    </row>
    <row r="183" spans="1:5" ht="15" customHeight="1" x14ac:dyDescent="0.25">
      <c r="A183" s="653"/>
      <c r="B183" s="651"/>
      <c r="C183" s="111" t="str">
        <f>'натур показатели инновации+добр'!C146</f>
        <v>Лак БТ-577 (Кузбасслак)   0,9л СГ /6/</v>
      </c>
      <c r="D183" s="67" t="str">
        <f>'натур показатели инновации+добр'!D146</f>
        <v>шт</v>
      </c>
      <c r="E183" s="169">
        <f>'патриотика0,369'!D294</f>
        <v>0.36899999999999999</v>
      </c>
    </row>
    <row r="184" spans="1:5" ht="16.5" customHeight="1" x14ac:dyDescent="0.25">
      <c r="A184" s="653"/>
      <c r="B184" s="651"/>
      <c r="C184" s="111" t="str">
        <f>'натур показатели инновации+добр'!C147</f>
        <v>Морилка "Красное дерево" 0,50л водная  пэт</v>
      </c>
      <c r="D184" s="67" t="str">
        <f>'натур показатели инновации+добр'!D147</f>
        <v>шт</v>
      </c>
      <c r="E184" s="169">
        <f>'патриотика0,369'!D295</f>
        <v>0.73799999999999999</v>
      </c>
    </row>
    <row r="185" spans="1:5" ht="12" customHeight="1" x14ac:dyDescent="0.25">
      <c r="A185" s="653"/>
      <c r="B185" s="651"/>
      <c r="C185" s="111" t="str">
        <f>'натур показатели инновации+добр'!C148</f>
        <v>Порожек стык 1,8 м дуб темный 60мм (6) ПС07.1800.091</v>
      </c>
      <c r="D185" s="67" t="str">
        <f>'натур показатели инновации+добр'!D148</f>
        <v>шт</v>
      </c>
      <c r="E185" s="169">
        <f>'патриотика0,369'!D296</f>
        <v>0.73799999999999999</v>
      </c>
    </row>
    <row r="186" spans="1:5" ht="12" customHeight="1" x14ac:dyDescent="0.25">
      <c r="A186" s="653"/>
      <c r="B186" s="651"/>
      <c r="C186" s="111" t="str">
        <f>'натур показатели инновации+добр'!C149</f>
        <v>Профиль потолочный А-1 3,0м в сборе (Т) (20)</v>
      </c>
      <c r="D186" s="67" t="str">
        <f>'натур показатели инновации+добр'!D149</f>
        <v>шт</v>
      </c>
      <c r="E186" s="169">
        <f>'патриотика0,369'!D297</f>
        <v>0.36899999999999999</v>
      </c>
    </row>
    <row r="187" spans="1:5" ht="12" customHeight="1" x14ac:dyDescent="0.25">
      <c r="A187" s="653"/>
      <c r="B187" s="651"/>
      <c r="C187" s="111" t="str">
        <f>'натур показатели инновации+добр'!C150</f>
        <v>STAYER MAXI, 105х55мм, стусло пластиковое</v>
      </c>
      <c r="D187" s="67" t="str">
        <f>'натур показатели инновации+добр'!D150</f>
        <v>шт</v>
      </c>
      <c r="E187" s="169">
        <f>'патриотика0,369'!D298</f>
        <v>0.36899999999999999</v>
      </c>
    </row>
    <row r="188" spans="1:5" ht="12" customHeight="1" x14ac:dyDescent="0.25">
      <c r="A188" s="653"/>
      <c r="B188" s="651"/>
      <c r="C188" s="111" t="str">
        <f>'натур показатели инновации+добр'!C151</f>
        <v>Ножовка по металлу ЗУБР МХ-100, метал.рамка, пласт.ручка,натяжение 60кг, 300мм</v>
      </c>
      <c r="D188" s="67" t="str">
        <f>'натур показатели инновации+добр'!D151</f>
        <v>шт</v>
      </c>
      <c r="E188" s="169">
        <f>'патриотика0,369'!D299</f>
        <v>0.36899999999999999</v>
      </c>
    </row>
    <row r="189" spans="1:5" ht="12" customHeight="1" x14ac:dyDescent="0.25">
      <c r="A189" s="653"/>
      <c r="B189" s="651"/>
      <c r="C189" s="111" t="str">
        <f>'натур показатели инновации+добр'!C152</f>
        <v>Ножовка ЗУБР Молния-5 по дереву, прямой крупный зуб, 500мм</v>
      </c>
      <c r="D189" s="67" t="str">
        <f>'натур показатели инновации+добр'!D152</f>
        <v>шт</v>
      </c>
      <c r="E189" s="169">
        <f>'патриотика0,369'!D300</f>
        <v>0.36899999999999999</v>
      </c>
    </row>
    <row r="190" spans="1:5" ht="22.15" customHeight="1" x14ac:dyDescent="0.25">
      <c r="A190" s="653"/>
      <c r="B190" s="651"/>
      <c r="C190" s="111" t="str">
        <f>'натур показатели инновации+добр'!C153</f>
        <v>Рулетка ХК STANDART 10м*25мм, магнит, автостоп, обрезиненный корпус /12/60/</v>
      </c>
      <c r="D190" s="67" t="str">
        <f>'натур показатели инновации+добр'!D153</f>
        <v>шт</v>
      </c>
      <c r="E190" s="169">
        <f>'патриотика0,369'!D301</f>
        <v>0.73799999999999999</v>
      </c>
    </row>
    <row r="191" spans="1:5" ht="12" customHeight="1" x14ac:dyDescent="0.25">
      <c r="A191" s="653"/>
      <c r="B191" s="651"/>
      <c r="C191" s="111" t="str">
        <f>'натур показатели инновации+добр'!C154</f>
        <v>Хомут нейлоновый 3,6х250мм 100шт белый /10/</v>
      </c>
      <c r="D191" s="67" t="str">
        <f>'натур показатели инновации+добр'!D154</f>
        <v>шт</v>
      </c>
      <c r="E191" s="169">
        <f>'патриотика0,369'!D302</f>
        <v>0.36899999999999999</v>
      </c>
    </row>
    <row r="192" spans="1:5" ht="22.15" customHeight="1" x14ac:dyDescent="0.25">
      <c r="A192" s="653"/>
      <c r="B192" s="651"/>
      <c r="C192" s="111" t="str">
        <f>'натур показатели инновации+добр'!C155</f>
        <v>Хомут нейлоновый 3,6х350мм 100шт белый</v>
      </c>
      <c r="D192" s="67" t="str">
        <f>'натур показатели инновации+добр'!D155</f>
        <v>шт</v>
      </c>
      <c r="E192" s="169">
        <f>'патриотика0,369'!D303</f>
        <v>0.36899999999999999</v>
      </c>
    </row>
    <row r="193" spans="1:5" ht="15.75" customHeight="1" x14ac:dyDescent="0.25">
      <c r="A193" s="653"/>
      <c r="B193" s="651"/>
      <c r="C193" s="111" t="str">
        <f>'натур показатели инновации+добр'!C156</f>
        <v>Нож ЕРМАК 18 мм, складной, двухкомпонентная рукоятка, сменное лезвие 649-015/1/</v>
      </c>
      <c r="D193" s="67" t="str">
        <f>'натур показатели инновации+добр'!D156</f>
        <v>шт</v>
      </c>
      <c r="E193" s="169">
        <f>'патриотика0,369'!D304</f>
        <v>0.36899999999999999</v>
      </c>
    </row>
    <row r="194" spans="1:5" ht="13.5" customHeight="1" x14ac:dyDescent="0.25">
      <c r="A194" s="653"/>
      <c r="B194" s="651"/>
      <c r="C194" s="111" t="str">
        <f>'натур показатели инновации+добр'!C157</f>
        <v>Сверло ЗУБР "МАСТЕР" по бетону ударное, 10x300мм</v>
      </c>
      <c r="D194" s="67" t="str">
        <f>'натур показатели инновации+добр'!D157</f>
        <v>шт</v>
      </c>
      <c r="E194" s="169">
        <f>'патриотика0,369'!D305</f>
        <v>0.36899999999999999</v>
      </c>
    </row>
    <row r="195" spans="1:5" ht="12" customHeight="1" x14ac:dyDescent="0.25">
      <c r="A195" s="653"/>
      <c r="B195" s="651"/>
      <c r="C195" s="111" t="str">
        <f>'натур показатели инновации+добр'!C158</f>
        <v>Сверло ЗУБР "СУПЕР-6" по бетону ударное, шестигранный хвостовик, 8x300мм</v>
      </c>
      <c r="D195" s="67" t="str">
        <f>'натур показатели инновации+добр'!D158</f>
        <v>шт</v>
      </c>
      <c r="E195" s="169">
        <f>'патриотика0,369'!D306</f>
        <v>0.36899999999999999</v>
      </c>
    </row>
    <row r="196" spans="1:5" ht="12" customHeight="1" x14ac:dyDescent="0.25">
      <c r="A196" s="653"/>
      <c r="B196" s="651"/>
      <c r="C196" s="111" t="str">
        <f>'натур показатели инновации+добр'!C159</f>
        <v>ЗУБР МАСТЕР 6 х 150  мм сверло по бетону</v>
      </c>
      <c r="D196" s="67" t="str">
        <f>'натур показатели инновации+добр'!D159</f>
        <v>шт</v>
      </c>
      <c r="E196" s="169">
        <f>'патриотика0,369'!D307</f>
        <v>0.36899999999999999</v>
      </c>
    </row>
    <row r="197" spans="1:5" ht="12" customHeight="1" x14ac:dyDescent="0.25">
      <c r="A197" s="653"/>
      <c r="B197" s="651"/>
      <c r="C197" s="111" t="str">
        <f>'натур показатели инновации+добр'!C160</f>
        <v>ЗУБР МАСТЕР 4 х 75  мм сверло по бетону</v>
      </c>
      <c r="D197" s="67" t="str">
        <f>'натур показатели инновации+добр'!D160</f>
        <v>шт</v>
      </c>
      <c r="E197" s="169">
        <f>'патриотика0,369'!D308</f>
        <v>0.36899999999999999</v>
      </c>
    </row>
    <row r="198" spans="1:5" ht="12" customHeight="1" x14ac:dyDescent="0.25">
      <c r="A198" s="653"/>
      <c r="B198" s="651"/>
      <c r="C198" s="111" t="str">
        <f>'натур показатели инновации+добр'!C161</f>
        <v>ЗУБР МАСТЕР 5 x 85  мм сверло по бетону</v>
      </c>
      <c r="D198" s="67" t="str">
        <f>'натур показатели инновации+добр'!D161</f>
        <v>шт</v>
      </c>
      <c r="E198" s="169">
        <f>'патриотика0,369'!D309</f>
        <v>0.36899999999999999</v>
      </c>
    </row>
    <row r="199" spans="1:5" ht="12" customHeight="1" x14ac:dyDescent="0.25">
      <c r="A199" s="653"/>
      <c r="B199" s="651"/>
      <c r="C199" s="111" t="str">
        <f>'натур показатели инновации+добр'!C162</f>
        <v>Плинтус напольный с кабель-каналом Line Plast L048 Ироко 58мм*2,5м (40) L048 Ироко</v>
      </c>
      <c r="D199" s="67" t="str">
        <f>'натур показатели инновации+добр'!D162</f>
        <v>шт</v>
      </c>
      <c r="E199" s="169">
        <f>'патриотика0,369'!D310</f>
        <v>6.6419999999999995</v>
      </c>
    </row>
    <row r="200" spans="1:5" ht="12" customHeight="1" x14ac:dyDescent="0.25">
      <c r="A200" s="653"/>
      <c r="B200" s="651"/>
      <c r="C200" s="111" t="str">
        <f>'натур показатели инновации+добр'!C163</f>
        <v>Угол наружный Line Plast L048 Ироко 58мм</v>
      </c>
      <c r="D200" s="67" t="str">
        <f>'натур показатели инновации+добр'!D163</f>
        <v>шт</v>
      </c>
      <c r="E200" s="169">
        <f>'патриотика0,369'!D311</f>
        <v>4.4279999999999999</v>
      </c>
    </row>
    <row r="201" spans="1:5" ht="12" customHeight="1" x14ac:dyDescent="0.25">
      <c r="A201" s="653"/>
      <c r="B201" s="651"/>
      <c r="C201" s="111" t="str">
        <f>'натур показатели инновации+добр'!C164</f>
        <v>Угол внутренний Line Plast L048 Ироко 58мм</v>
      </c>
      <c r="D201" s="67" t="str">
        <f>'натур показатели инновации+добр'!D164</f>
        <v>шт</v>
      </c>
      <c r="E201" s="169">
        <f>'патриотика0,369'!D312</f>
        <v>4.4279999999999999</v>
      </c>
    </row>
    <row r="202" spans="1:5" ht="12" customHeight="1" x14ac:dyDescent="0.25">
      <c r="A202" s="653"/>
      <c r="B202" s="651"/>
      <c r="C202" s="111" t="str">
        <f>'натур показатели инновации+добр'!C165</f>
        <v>Соединитель Line Plast L048 Ироко 58мм (50)</v>
      </c>
      <c r="D202" s="67" t="str">
        <f>'натур показатели инновации+добр'!D165</f>
        <v>шт</v>
      </c>
      <c r="E202" s="169">
        <f>'патриотика0,369'!D313</f>
        <v>7.38</v>
      </c>
    </row>
    <row r="203" spans="1:5" ht="12" customHeight="1" x14ac:dyDescent="0.25">
      <c r="A203" s="653"/>
      <c r="B203" s="651"/>
      <c r="C203" s="111" t="str">
        <f>'натур показатели инновации+добр'!C166</f>
        <v>Торцевик Line Plast L048 Ироко левый 58мм (50)</v>
      </c>
      <c r="D203" s="67" t="str">
        <f>'натур показатели инновации+добр'!D166</f>
        <v>шт</v>
      </c>
      <c r="E203" s="169">
        <f>'патриотика0,369'!D314</f>
        <v>2.214</v>
      </c>
    </row>
    <row r="204" spans="1:5" ht="12" customHeight="1" x14ac:dyDescent="0.25">
      <c r="A204" s="653"/>
      <c r="B204" s="651"/>
      <c r="C204" s="111" t="str">
        <f>'натур показатели инновации+добр'!C167</f>
        <v>Торцевик Line Plast L048 Ироко правый 58мм (50)</v>
      </c>
      <c r="D204" s="67" t="str">
        <f>'натур показатели инновации+добр'!D167</f>
        <v>шт</v>
      </c>
      <c r="E204" s="169">
        <f>'патриотика0,369'!D315</f>
        <v>2.214</v>
      </c>
    </row>
    <row r="205" spans="1:5" ht="12" customHeight="1" x14ac:dyDescent="0.25">
      <c r="A205" s="653"/>
      <c r="B205" s="651"/>
      <c r="C205" s="111" t="str">
        <f>'натур показатели инновации+добр'!C168</f>
        <v>Карниз для штор гибкий ArtFlex белый 5,0м (11 хомутов, 50 крючков)</v>
      </c>
      <c r="D205" s="67" t="str">
        <f>'натур показатели инновации+добр'!D168</f>
        <v>шт</v>
      </c>
      <c r="E205" s="169">
        <f>'патриотика0,369'!D316</f>
        <v>0.36899999999999999</v>
      </c>
    </row>
    <row r="206" spans="1:5" ht="12" customHeight="1" x14ac:dyDescent="0.25">
      <c r="A206" s="653"/>
      <c r="B206" s="651"/>
      <c r="C206" s="111" t="str">
        <f>'натур показатели инновации+добр'!C169</f>
        <v>Выключатель Lezard Mira 1СП белый 701-0202-100 /10/120/</v>
      </c>
      <c r="D206" s="67" t="str">
        <f>'натур показатели инновации+добр'!D169</f>
        <v>шт</v>
      </c>
      <c r="E206" s="169">
        <f>'патриотика0,369'!D317</f>
        <v>0.73799999999999999</v>
      </c>
    </row>
    <row r="207" spans="1:5" ht="12" customHeight="1" x14ac:dyDescent="0.25">
      <c r="A207" s="653"/>
      <c r="B207" s="651"/>
      <c r="C207" s="111" t="str">
        <f>'натур показатели инновации+добр'!C170</f>
        <v xml:space="preserve">Клей Henkel Момент Столяр ПВА универсальный, 250гр </v>
      </c>
      <c r="D207" s="67" t="str">
        <f>'натур показатели инновации+добр'!D170</f>
        <v>шт</v>
      </c>
      <c r="E207" s="169">
        <f>'патриотика0,369'!D318</f>
        <v>0.36899999999999999</v>
      </c>
    </row>
    <row r="208" spans="1:5" ht="12" customHeight="1" x14ac:dyDescent="0.25">
      <c r="A208" s="653"/>
      <c r="B208" s="651"/>
      <c r="C208" s="111" t="str">
        <f>'натур показатели инновации+добр'!C171</f>
        <v>Порожек стык 1,8 мербау 37мм ПС03.1800.093</v>
      </c>
      <c r="D208" s="67" t="str">
        <f>'натур показатели инновации+добр'!D171</f>
        <v>шт</v>
      </c>
      <c r="E208" s="169">
        <f>'патриотика0,369'!D319</f>
        <v>0.73799999999999999</v>
      </c>
    </row>
    <row r="209" spans="1:5" ht="12" customHeight="1" x14ac:dyDescent="0.25">
      <c r="A209" s="653"/>
      <c r="B209" s="651"/>
      <c r="C209" s="111" t="str">
        <f>'натур показатели инновации+добр'!C172</f>
        <v>Брусок 50*50мм (3м)</v>
      </c>
      <c r="D209" s="67" t="str">
        <f>'натур показатели инновации+добр'!D172</f>
        <v>шт</v>
      </c>
      <c r="E209" s="169">
        <f>'патриотика0,369'!D320</f>
        <v>7.38</v>
      </c>
    </row>
    <row r="210" spans="1:5" ht="12" customHeight="1" x14ac:dyDescent="0.25">
      <c r="A210" s="653"/>
      <c r="B210" s="651"/>
      <c r="C210" s="111" t="str">
        <f>'натур показатели инновации+добр'!C173</f>
        <v>Фанера березовая 6мм 1525*1525мм ФК сорт 4/4 нш</v>
      </c>
      <c r="D210" s="67" t="str">
        <f>'натур показатели инновации+добр'!D173</f>
        <v>шт</v>
      </c>
      <c r="E210" s="169">
        <f>'патриотика0,369'!D321</f>
        <v>2.214</v>
      </c>
    </row>
    <row r="211" spans="1:5" ht="12" customHeight="1" x14ac:dyDescent="0.25">
      <c r="A211" s="653"/>
      <c r="B211" s="651"/>
      <c r="C211" s="111" t="str">
        <f>'натур показатели инновации+добр'!C174</f>
        <v>Фанера березовая 8мм 1525*1525мм ФК сорт 4/4 нш</v>
      </c>
      <c r="D211" s="67" t="str">
        <f>'натур показатели инновации+добр'!D174</f>
        <v>шт</v>
      </c>
      <c r="E211" s="169">
        <f>'патриотика0,369'!D322</f>
        <v>0.73799999999999999</v>
      </c>
    </row>
    <row r="212" spans="1:5" ht="12" customHeight="1" x14ac:dyDescent="0.25">
      <c r="A212" s="653"/>
      <c r="B212" s="651"/>
      <c r="C212" s="111" t="str">
        <f>'натур показатели инновации+добр'!C175</f>
        <v>Эмаль акр.для радиаторов отопления 1кг полуглянцевая (6) OLECOLOR</v>
      </c>
      <c r="D212" s="67" t="str">
        <f>'натур показатели инновации+добр'!D175</f>
        <v>шт</v>
      </c>
      <c r="E212" s="169">
        <f>'патриотика0,369'!D323</f>
        <v>0.73799999999999999</v>
      </c>
    </row>
    <row r="213" spans="1:5" ht="12" customHeight="1" x14ac:dyDescent="0.25">
      <c r="A213" s="653"/>
      <c r="B213" s="651"/>
      <c r="C213" s="111" t="str">
        <f>'натур показатели инновации+добр'!C176</f>
        <v>Лопата снеговая деревянная, 50*50см, с усиленной планкой, "Баба Яга"/1/</v>
      </c>
      <c r="D213" s="67" t="str">
        <f>'натур показатели инновации+добр'!D176</f>
        <v>шт</v>
      </c>
      <c r="E213" s="169">
        <f>'патриотика0,369'!D324</f>
        <v>0.36899999999999999</v>
      </c>
    </row>
    <row r="214" spans="1:5" ht="12" customHeight="1" x14ac:dyDescent="0.25">
      <c r="A214" s="653"/>
      <c r="B214" s="651"/>
      <c r="C214" s="111" t="str">
        <f>'натур показатели инновации+добр'!C177</f>
        <v>Лопата пласт 380*380мм, с алюминевой планкой, с алюмин.черенком и Д-образной ручкой (5) ЛА-06</v>
      </c>
      <c r="D214" s="67" t="str">
        <f>'натур показатели инновации+добр'!D177</f>
        <v>шт</v>
      </c>
      <c r="E214" s="169">
        <f>'патриотика0,369'!D325</f>
        <v>0.36899999999999999</v>
      </c>
    </row>
    <row r="215" spans="1:5" ht="12" customHeight="1" x14ac:dyDescent="0.25">
      <c r="A215" s="653"/>
      <c r="B215" s="651"/>
      <c r="C215" s="111" t="str">
        <f>'натур показатели инновации+добр'!C178</f>
        <v>Коробка распаячная КМР-030-031 с крышкой 8*80*50мм IP 54 EKF, серая /100/</v>
      </c>
      <c r="D215" s="67" t="str">
        <f>'натур показатели инновации+добр'!D178</f>
        <v>шт</v>
      </c>
      <c r="E215" s="169">
        <f>'патриотика0,369'!D326</f>
        <v>0.73799999999999999</v>
      </c>
    </row>
    <row r="216" spans="1:5" ht="12" customHeight="1" x14ac:dyDescent="0.25">
      <c r="A216" s="653"/>
      <c r="B216" s="651"/>
      <c r="C216" s="111" t="str">
        <f>'натур показатели инновации+добр'!C179</f>
        <v>Розетка "Пралеска"   2РА16-303 брызгозащищенная з/к /30/</v>
      </c>
      <c r="D216" s="67" t="str">
        <f>'натур показатели инновации+добр'!D179</f>
        <v>шт</v>
      </c>
      <c r="E216" s="169">
        <f>'патриотика0,369'!D327</f>
        <v>0.36899999999999999</v>
      </c>
    </row>
    <row r="217" spans="1:5" ht="12" customHeight="1" x14ac:dyDescent="0.25">
      <c r="A217" s="653"/>
      <c r="B217" s="651"/>
      <c r="C217" s="111" t="str">
        <f>'натур показатели инновации+добр'!C180</f>
        <v>Провод ВВГ 3*2,5</v>
      </c>
      <c r="D217" s="67" t="str">
        <f>'натур показатели инновации+добр'!D180</f>
        <v>шт</v>
      </c>
      <c r="E217" s="169">
        <f>'патриотика0,369'!D328</f>
        <v>3.69</v>
      </c>
    </row>
    <row r="218" spans="1:5" ht="12" customHeight="1" x14ac:dyDescent="0.25">
      <c r="A218" s="653"/>
      <c r="B218" s="651"/>
      <c r="C218" s="111" t="str">
        <f>'натур показатели инновации+добр'!C181</f>
        <v>Щиток защитный TUNDRA корпус пластик 4588909</v>
      </c>
      <c r="D218" s="67" t="str">
        <f>'натур показатели инновации+добр'!D181</f>
        <v>шт</v>
      </c>
      <c r="E218" s="169">
        <f>'патриотика0,369'!D329</f>
        <v>0.73799999999999999</v>
      </c>
    </row>
    <row r="219" spans="1:5" ht="12" customHeight="1" x14ac:dyDescent="0.25">
      <c r="A219" s="653"/>
      <c r="B219" s="651"/>
      <c r="C219" s="111" t="str">
        <f>'натур показатели инновации+добр'!C182</f>
        <v>Щиток защитный СИБИН с экраном из поликарбоната</v>
      </c>
      <c r="D219" s="67" t="str">
        <f>'натур показатели инновации+добр'!D182</f>
        <v>шт</v>
      </c>
      <c r="E219" s="169">
        <f>'патриотика0,369'!D330</f>
        <v>0.36899999999999999</v>
      </c>
    </row>
    <row r="220" spans="1:5" ht="12" customHeight="1" x14ac:dyDescent="0.25">
      <c r="A220" s="653"/>
      <c r="B220" s="651"/>
      <c r="C220" s="111" t="str">
        <f>'натур показатели инновации+добр'!C183</f>
        <v>Замок навесной  Чебоксары ВС-2 М1-02 /20/</v>
      </c>
      <c r="D220" s="67" t="str">
        <f>'натур показатели инновации+добр'!D183</f>
        <v>шт</v>
      </c>
      <c r="E220" s="169">
        <f>'патриотика0,369'!D331</f>
        <v>0.36899999999999999</v>
      </c>
    </row>
    <row r="221" spans="1:5" ht="12" customHeight="1" x14ac:dyDescent="0.25">
      <c r="A221" s="653"/>
      <c r="B221" s="651"/>
      <c r="C221" s="111" t="str">
        <f>'натур показатели инновации+добр'!C184</f>
        <v>Фанера 10 мм (1525х1525) водостойкая , сорт 4/4 , н/ш (2,325 м2)</v>
      </c>
      <c r="D221" s="67" t="str">
        <f>'натур показатели инновации+добр'!D184</f>
        <v>шт</v>
      </c>
      <c r="E221" s="169">
        <f>'патриотика0,369'!D332</f>
        <v>0.73799999999999999</v>
      </c>
    </row>
    <row r="222" spans="1:5" ht="12" customHeight="1" x14ac:dyDescent="0.25">
      <c r="A222" s="653"/>
      <c r="B222" s="651"/>
      <c r="C222" s="111" t="str">
        <f>'натур показатели инновации+добр'!C185</f>
        <v>Гайка шестигранная цинк DIN 934 М10 (300шт.)</v>
      </c>
      <c r="D222" s="67" t="str">
        <f>'натур показатели инновации+добр'!D185</f>
        <v>шт</v>
      </c>
      <c r="E222" s="169">
        <f>'патриотика0,369'!D333</f>
        <v>2.952</v>
      </c>
    </row>
    <row r="223" spans="1:5" ht="12" customHeight="1" x14ac:dyDescent="0.25">
      <c r="A223" s="653"/>
      <c r="B223" s="651"/>
      <c r="C223" s="111" t="str">
        <f>'натур показатели инновации+добр'!C186</f>
        <v>Шайба плоская узкая цинк DIN 125 М12 (500шт.)</v>
      </c>
      <c r="D223" s="67" t="str">
        <f>'натур показатели инновации+добр'!D186</f>
        <v>шт</v>
      </c>
      <c r="E223" s="169">
        <f>'патриотика0,369'!D334</f>
        <v>2.952</v>
      </c>
    </row>
    <row r="224" spans="1:5" ht="12" customHeight="1" x14ac:dyDescent="0.25">
      <c r="A224" s="653"/>
      <c r="B224" s="651"/>
      <c r="C224" s="111" t="str">
        <f>'натур показатели инновации+добр'!C187</f>
        <v>Шайба пружинная гроверная цинк DIN 127 М12 (500шт.)</v>
      </c>
      <c r="D224" s="67" t="str">
        <f>'натур показатели инновации+добр'!D187</f>
        <v>шт</v>
      </c>
      <c r="E224" s="169">
        <f>'патриотика0,369'!D335</f>
        <v>2.952</v>
      </c>
    </row>
    <row r="225" spans="1:5" ht="12" customHeight="1" x14ac:dyDescent="0.25">
      <c r="A225" s="653"/>
      <c r="B225" s="651"/>
      <c r="C225" s="111" t="str">
        <f>'натур показатели инновации+добр'!C188</f>
        <v>Дюбель усиленный 5х40 + саморез головка потай желтый цинк 3,5х45 (20шт)</v>
      </c>
      <c r="D225" s="67" t="str">
        <f>'натур показатели инновации+добр'!D188</f>
        <v>шт</v>
      </c>
      <c r="E225" s="169">
        <f>'патриотика0,369'!D336</f>
        <v>0.36899999999999999</v>
      </c>
    </row>
    <row r="226" spans="1:5" ht="12" customHeight="1" x14ac:dyDescent="0.25">
      <c r="A226" s="653"/>
      <c r="B226" s="651"/>
      <c r="C226" s="111" t="str">
        <f>'натур показатели инновации+добр'!C189</f>
        <v>Дюбель усиленный 6х25 + саморез головка потай желтый цинк 4,0х30 (20шт)</v>
      </c>
      <c r="D226" s="67" t="str">
        <f>'натур показатели инновации+добр'!D189</f>
        <v>шт</v>
      </c>
      <c r="E226" s="169">
        <f>'патриотика0,369'!D337</f>
        <v>0.36899999999999999</v>
      </c>
    </row>
    <row r="227" spans="1:5" ht="12" customHeight="1" x14ac:dyDescent="0.25">
      <c r="A227" s="653"/>
      <c r="B227" s="651"/>
      <c r="C227" s="111" t="str">
        <f>'натур показатели инновации+добр'!C190</f>
        <v>Дюбель усиленный 5х30 + саморез головка потай желтый цинк 3,0х35 (24шт)</v>
      </c>
      <c r="D227" s="67" t="str">
        <f>'натур показатели инновации+добр'!D190</f>
        <v>шт</v>
      </c>
      <c r="E227" s="169">
        <f>'патриотика0,369'!D338</f>
        <v>0.36899999999999999</v>
      </c>
    </row>
    <row r="228" spans="1:5" ht="12" customHeight="1" x14ac:dyDescent="0.25">
      <c r="A228" s="653"/>
      <c r="B228" s="651"/>
      <c r="C228" s="111" t="str">
        <f>'натур показатели инновации+добр'!C191</f>
        <v>Кабель-канал ПВХ 12*12 (100) SQ0408-0501</v>
      </c>
      <c r="D228" s="67" t="str">
        <f>'натур показатели инновации+добр'!D191</f>
        <v>шт</v>
      </c>
      <c r="E228" s="169">
        <f>'патриотика0,369'!D339</f>
        <v>0.36899999999999999</v>
      </c>
    </row>
    <row r="229" spans="1:5" ht="12" customHeight="1" x14ac:dyDescent="0.25">
      <c r="A229" s="653"/>
      <c r="B229" s="651"/>
      <c r="C229" s="111" t="str">
        <f>'натур показатели инновации+добр'!C192</f>
        <v>Кабель-канал ПВХ 20*10 (80) SQ0408-0503</v>
      </c>
      <c r="D229" s="67" t="str">
        <f>'натур показатели инновации+добр'!D192</f>
        <v>шт</v>
      </c>
      <c r="E229" s="169">
        <f>'патриотика0,369'!D340</f>
        <v>0.36899999999999999</v>
      </c>
    </row>
    <row r="230" spans="1:5" ht="12" customHeight="1" x14ac:dyDescent="0.25">
      <c r="A230" s="653"/>
      <c r="B230" s="651"/>
      <c r="C230" s="111" t="str">
        <f>'натур показатели инновации+добр'!C193</f>
        <v>Хомут  червячный "MGF" 16-27мм /50/</v>
      </c>
      <c r="D230" s="67" t="str">
        <f>'натур показатели инновации+добр'!D193</f>
        <v>шт</v>
      </c>
      <c r="E230" s="169">
        <f>'патриотика0,369'!D341</f>
        <v>0.73799999999999999</v>
      </c>
    </row>
    <row r="231" spans="1:5" ht="12" customHeight="1" x14ac:dyDescent="0.25">
      <c r="A231" s="653"/>
      <c r="B231" s="651"/>
      <c r="C231" s="111" t="str">
        <f>'натур показатели инновации+добр'!C194</f>
        <v>Переходник (штуцер) LEXLINE на р/шл 1/2 нар-20, латунь /10/</v>
      </c>
      <c r="D231" s="67" t="str">
        <f>'натур показатели инновации+добр'!D194</f>
        <v>шт</v>
      </c>
      <c r="E231" s="169">
        <f>'патриотика0,369'!D342</f>
        <v>0.36899999999999999</v>
      </c>
    </row>
    <row r="232" spans="1:5" ht="12" customHeight="1" x14ac:dyDescent="0.25">
      <c r="A232" s="653"/>
      <c r="B232" s="651"/>
      <c r="C232" s="111" t="str">
        <f>'натур показатели инновации+добр'!C195</f>
        <v>Флянец хвостовика</v>
      </c>
      <c r="D232" s="67" t="str">
        <f>'натур показатели инновации+добр'!D195</f>
        <v>шт</v>
      </c>
      <c r="E232" s="169">
        <f>'патриотика0,369'!D343</f>
        <v>0.73799999999999999</v>
      </c>
    </row>
    <row r="233" spans="1:5" ht="12" customHeight="1" x14ac:dyDescent="0.25">
      <c r="A233" s="653"/>
      <c r="B233" s="651"/>
      <c r="C233" s="111" t="str">
        <f>'натур показатели инновации+добр'!C196</f>
        <v>Датчик коленвала</v>
      </c>
      <c r="D233" s="67" t="str">
        <f>'натур показатели инновации+добр'!D196</f>
        <v>шт</v>
      </c>
      <c r="E233" s="169">
        <f>'патриотика0,369'!D344</f>
        <v>0.36899999999999999</v>
      </c>
    </row>
    <row r="234" spans="1:5" ht="12" customHeight="1" x14ac:dyDescent="0.25">
      <c r="A234" s="653"/>
      <c r="B234" s="651"/>
      <c r="C234" s="111" t="str">
        <f>'натур показатели инновации+добр'!C197</f>
        <v>пусковые провода</v>
      </c>
      <c r="D234" s="67" t="str">
        <f>'натур показатели инновации+добр'!D197</f>
        <v>шт</v>
      </c>
      <c r="E234" s="169">
        <f>'патриотика0,369'!D345</f>
        <v>0.36899999999999999</v>
      </c>
    </row>
    <row r="235" spans="1:5" ht="12" customHeight="1" x14ac:dyDescent="0.25">
      <c r="A235" s="653"/>
      <c r="B235" s="651"/>
      <c r="C235" s="111" t="str">
        <f>'натур показатели инновации+добр'!C198</f>
        <v>маска медицинская</v>
      </c>
      <c r="D235" s="67" t="str">
        <f>'натур показатели инновации+добр'!D198</f>
        <v>шт</v>
      </c>
      <c r="E235" s="169">
        <f>'патриотика0,369'!D346</f>
        <v>2214</v>
      </c>
    </row>
    <row r="236" spans="1:5" ht="12" customHeight="1" x14ac:dyDescent="0.25">
      <c r="A236" s="653"/>
      <c r="B236" s="651"/>
      <c r="C236" s="111" t="str">
        <f>'натур показатели инновации+добр'!C199</f>
        <v>Бумага10*15 глянец 180 гр</v>
      </c>
      <c r="D236" s="67" t="str">
        <f>'натур показатели инновации+добр'!D199</f>
        <v>шт</v>
      </c>
      <c r="E236" s="169">
        <f>'патриотика0,369'!D347</f>
        <v>1.476</v>
      </c>
    </row>
    <row r="237" spans="1:5" ht="12" customHeight="1" x14ac:dyDescent="0.25">
      <c r="A237" s="653"/>
      <c r="B237" s="651"/>
      <c r="C237" s="111" t="str">
        <f>'натур показатели инновации+добр'!C200</f>
        <v>Бумага А4</v>
      </c>
      <c r="D237" s="67" t="str">
        <f>'натур показатели инновации+добр'!D200</f>
        <v>шт</v>
      </c>
      <c r="E237" s="169">
        <f>'патриотика0,369'!D348</f>
        <v>23.984999999999999</v>
      </c>
    </row>
    <row r="238" spans="1:5" ht="12" customHeight="1" x14ac:dyDescent="0.25">
      <c r="A238" s="653"/>
      <c r="B238" s="651"/>
      <c r="C238" s="111" t="str">
        <f>'натур показатели инновации+добр'!C201</f>
        <v>планшет</v>
      </c>
      <c r="D238" s="67" t="str">
        <f>'натур показатели инновации+добр'!D201</f>
        <v>шт</v>
      </c>
      <c r="E238" s="169">
        <f>'патриотика0,369'!D349</f>
        <v>3.69</v>
      </c>
    </row>
    <row r="239" spans="1:5" ht="12" customHeight="1" x14ac:dyDescent="0.25">
      <c r="A239" s="653"/>
      <c r="B239" s="651"/>
      <c r="C239" s="111" t="str">
        <f>'натур показатели инновации+добр'!C202</f>
        <v>Бумага А4 цвет</v>
      </c>
      <c r="D239" s="67" t="str">
        <f>'натур показатели инновации+добр'!D202</f>
        <v>шт</v>
      </c>
      <c r="E239" s="169">
        <f>'патриотика0,369'!D350</f>
        <v>1.845</v>
      </c>
    </row>
    <row r="240" spans="1:5" ht="12" customHeight="1" x14ac:dyDescent="0.25">
      <c r="A240" s="653"/>
      <c r="B240" s="651"/>
      <c r="C240" s="111" t="str">
        <f>'натур показатели инновации+добр'!C203</f>
        <v>Бумага 10*15 матовая</v>
      </c>
      <c r="D240" s="67" t="str">
        <f>'натур показатели инновации+добр'!D203</f>
        <v>шт</v>
      </c>
      <c r="E240" s="169">
        <f>'патриотика0,369'!D351</f>
        <v>1.476</v>
      </c>
    </row>
    <row r="241" spans="1:5" ht="12" customHeight="1" x14ac:dyDescent="0.25">
      <c r="A241" s="653"/>
      <c r="B241" s="651"/>
      <c r="C241" s="111" t="str">
        <f>'натур показатели инновации+добр'!C204</f>
        <v>Бумага 10*15 глянец 230 гр</v>
      </c>
      <c r="D241" s="67" t="str">
        <f>'натур показатели инновации+добр'!D204</f>
        <v>шт</v>
      </c>
      <c r="E241" s="169">
        <f>'патриотика0,369'!D352</f>
        <v>1.476</v>
      </c>
    </row>
    <row r="242" spans="1:5" ht="12" customHeight="1" x14ac:dyDescent="0.25">
      <c r="A242" s="653"/>
      <c r="B242" s="651"/>
      <c r="C242" s="111" t="str">
        <f>'натур показатели инновации+добр'!C205</f>
        <v>Бумага А4 глянец 230 гр</v>
      </c>
      <c r="D242" s="67" t="str">
        <f>'натур показатели инновации+добр'!D205</f>
        <v>шт</v>
      </c>
      <c r="E242" s="169">
        <f>'патриотика0,369'!D353</f>
        <v>3.69</v>
      </c>
    </row>
    <row r="243" spans="1:5" ht="12" customHeight="1" x14ac:dyDescent="0.25">
      <c r="A243" s="653"/>
      <c r="B243" s="651"/>
      <c r="C243" s="111" t="str">
        <f>'натур показатели инновации+добр'!C206</f>
        <v>Бумага А4 матовая 160 гр</v>
      </c>
      <c r="D243" s="67" t="str">
        <f>'натур показатели инновации+добр'!D206</f>
        <v>шт</v>
      </c>
      <c r="E243" s="169">
        <f>'патриотика0,369'!D354</f>
        <v>3.69</v>
      </c>
    </row>
    <row r="244" spans="1:5" ht="12" customHeight="1" x14ac:dyDescent="0.25">
      <c r="A244" s="653"/>
      <c r="B244" s="651"/>
      <c r="C244" s="111" t="str">
        <f>'натур показатели инновации+добр'!C207</f>
        <v>Бумага А4 матовая 230 гр</v>
      </c>
      <c r="D244" s="67" t="str">
        <f>'натур показатели инновации+добр'!D207</f>
        <v>шт</v>
      </c>
      <c r="E244" s="169">
        <f>'патриотика0,369'!D355</f>
        <v>3.69</v>
      </c>
    </row>
    <row r="245" spans="1:5" ht="12" customHeight="1" x14ac:dyDescent="0.25">
      <c r="A245" s="653"/>
      <c r="B245" s="651"/>
      <c r="C245" s="111" t="str">
        <f>'натур показатели инновации+добр'!C208</f>
        <v>Бумага А4 глянец 240 гр</v>
      </c>
      <c r="D245" s="67" t="str">
        <f>'натур показатели инновации+добр'!D208</f>
        <v>шт</v>
      </c>
      <c r="E245" s="169">
        <f>'патриотика0,369'!D356</f>
        <v>3.69</v>
      </c>
    </row>
    <row r="246" spans="1:5" ht="12" customHeight="1" x14ac:dyDescent="0.25">
      <c r="A246" s="653"/>
      <c r="B246" s="651"/>
      <c r="C246" s="111" t="str">
        <f>'натур показатели инновации+добр'!C209</f>
        <v>скотч 72*56</v>
      </c>
      <c r="D246" s="67" t="str">
        <f>'натур показатели инновации+добр'!D209</f>
        <v>шт</v>
      </c>
      <c r="E246" s="169">
        <f>'патриотика0,369'!D357</f>
        <v>7.38</v>
      </c>
    </row>
    <row r="247" spans="1:5" x14ac:dyDescent="0.25">
      <c r="A247" s="653"/>
      <c r="B247" s="651"/>
      <c r="C247" s="111" t="str">
        <f>'натур показатели инновации+добр'!C210</f>
        <v>скотч 48*100</v>
      </c>
      <c r="D247" s="67" t="str">
        <f>'натур показатели инновации+добр'!D210</f>
        <v>шт</v>
      </c>
      <c r="E247" s="169">
        <f>'патриотика0,369'!D358</f>
        <v>7.38</v>
      </c>
    </row>
    <row r="248" spans="1:5" x14ac:dyDescent="0.25">
      <c r="A248" s="653"/>
      <c r="B248" s="651"/>
      <c r="C248" s="111" t="str">
        <f>'натур показатели инновации+добр'!C211</f>
        <v>блок самоклей</v>
      </c>
      <c r="D248" s="67" t="str">
        <f>'натур показатели инновации+добр'!D211</f>
        <v>шт</v>
      </c>
      <c r="E248" s="169">
        <f>'патриотика0,369'!D359</f>
        <v>1.845</v>
      </c>
    </row>
    <row r="249" spans="1:5" x14ac:dyDescent="0.25">
      <c r="A249" s="653"/>
      <c r="B249" s="651"/>
      <c r="C249" s="111" t="str">
        <f>'натур показатели инновации+добр'!C212</f>
        <v>папка-регистратор</v>
      </c>
      <c r="D249" s="67" t="str">
        <f>'натур показатели инновации+добр'!D212</f>
        <v>шт</v>
      </c>
      <c r="E249" s="169">
        <f>'патриотика0,369'!D360</f>
        <v>14.76</v>
      </c>
    </row>
    <row r="250" spans="1:5" x14ac:dyDescent="0.25">
      <c r="A250" s="653"/>
      <c r="B250" s="651"/>
      <c r="C250" s="111" t="str">
        <f>'натур показатели инновации+добр'!C213</f>
        <v>картон белый</v>
      </c>
      <c r="D250" s="67" t="str">
        <f>'натур показатели инновации+добр'!D213</f>
        <v>шт</v>
      </c>
      <c r="E250" s="169">
        <f>'патриотика0,369'!D361</f>
        <v>3.69</v>
      </c>
    </row>
    <row r="251" spans="1:5" x14ac:dyDescent="0.25">
      <c r="A251" s="653"/>
      <c r="B251" s="651"/>
      <c r="C251" s="111" t="str">
        <f>'натур показатели инновации+добр'!C214</f>
        <v>пружина 51 мм</v>
      </c>
      <c r="D251" s="67" t="str">
        <f>'натур показатели инновации+добр'!D214</f>
        <v>шт</v>
      </c>
      <c r="E251" s="169">
        <f>'патриотика0,369'!D362</f>
        <v>7.38</v>
      </c>
    </row>
    <row r="252" spans="1:5" x14ac:dyDescent="0.25">
      <c r="A252" s="653"/>
      <c r="B252" s="651"/>
      <c r="C252" s="111" t="str">
        <f>'натур показатели инновации+добр'!C215</f>
        <v>скотч 15 мм</v>
      </c>
      <c r="D252" s="67" t="str">
        <f>'натур показатели инновации+добр'!D215</f>
        <v>шт</v>
      </c>
      <c r="E252" s="169">
        <f>'патриотика0,369'!D363</f>
        <v>18.45</v>
      </c>
    </row>
    <row r="253" spans="1:5" x14ac:dyDescent="0.25">
      <c r="A253" s="653"/>
      <c r="B253" s="651"/>
      <c r="C253" s="111" t="str">
        <f>'натур показатели инновации+добр'!C216</f>
        <v>бейдж</v>
      </c>
      <c r="D253" s="67" t="str">
        <f>'натур показатели инновации+добр'!D216</f>
        <v>шт</v>
      </c>
      <c r="E253" s="169">
        <f>'патриотика0,369'!D364</f>
        <v>7.38</v>
      </c>
    </row>
    <row r="254" spans="1:5" x14ac:dyDescent="0.25">
      <c r="A254" s="653"/>
      <c r="B254" s="651"/>
      <c r="C254" s="111" t="str">
        <f>'натур показатели инновации+добр'!C217</f>
        <v>шнурок для бейджа</v>
      </c>
      <c r="D254" s="67" t="str">
        <f>'натур показатели инновации+добр'!D217</f>
        <v>шт</v>
      </c>
      <c r="E254" s="169">
        <f>'патриотика0,369'!D365</f>
        <v>7.38</v>
      </c>
    </row>
    <row r="255" spans="1:5" x14ac:dyDescent="0.25">
      <c r="A255" s="653"/>
      <c r="B255" s="651"/>
      <c r="C255" s="111" t="str">
        <f>'натур показатели инновации+добр'!C218</f>
        <v>блокнот для флипчарта</v>
      </c>
      <c r="D255" s="67" t="str">
        <f>'натур показатели инновации+добр'!D218</f>
        <v>шт</v>
      </c>
      <c r="E255" s="169">
        <f>'патриотика0,369'!D366</f>
        <v>1.845</v>
      </c>
    </row>
    <row r="256" spans="1:5" x14ac:dyDescent="0.25">
      <c r="A256" s="653"/>
      <c r="B256" s="651"/>
      <c r="C256" s="111" t="str">
        <f>'натур показатели инновации+добр'!C219</f>
        <v>бумага писчая</v>
      </c>
      <c r="D256" s="67" t="str">
        <f>'натур показатели инновации+добр'!D219</f>
        <v>шт</v>
      </c>
      <c r="E256" s="169">
        <f>'патриотика0,369'!D367</f>
        <v>3.69</v>
      </c>
    </row>
    <row r="257" spans="1:5" x14ac:dyDescent="0.25">
      <c r="A257" s="653"/>
      <c r="B257" s="651"/>
      <c r="C257" s="111" t="str">
        <f>'натур показатели инновации+добр'!C220</f>
        <v>фоторамка дерево</v>
      </c>
      <c r="D257" s="67" t="str">
        <f>'натур показатели инновации+добр'!D220</f>
        <v>шт</v>
      </c>
      <c r="E257" s="169">
        <f>'патриотика0,369'!D368</f>
        <v>36.9</v>
      </c>
    </row>
    <row r="258" spans="1:5" x14ac:dyDescent="0.25">
      <c r="A258" s="653"/>
      <c r="B258" s="651"/>
      <c r="C258" s="111" t="str">
        <f>'натур показатели инновации+добр'!C221</f>
        <v>фоторамка пластик</v>
      </c>
      <c r="D258" s="67" t="str">
        <f>'натур показатели инновации+добр'!D221</f>
        <v>шт</v>
      </c>
      <c r="E258" s="169">
        <f>'патриотика0,369'!D369</f>
        <v>27.675000000000001</v>
      </c>
    </row>
    <row r="259" spans="1:5" ht="22.5" customHeight="1" x14ac:dyDescent="0.25">
      <c r="A259" s="653"/>
      <c r="B259" s="651"/>
      <c r="C259" s="111" t="str">
        <f>'натур показатели инновации+добр'!C222</f>
        <v>фоторамка пластик</v>
      </c>
      <c r="D259" s="67" t="str">
        <f>'натур показатели инновации+добр'!D222</f>
        <v>шт</v>
      </c>
      <c r="E259" s="169">
        <f>'патриотика0,369'!D370</f>
        <v>27.675000000000001</v>
      </c>
    </row>
    <row r="260" spans="1:5" x14ac:dyDescent="0.25">
      <c r="A260" s="653"/>
      <c r="B260" s="651"/>
      <c r="C260" s="111" t="str">
        <f>'натур показатели инновации+добр'!C223</f>
        <v>батарейка ААА 24 шт /уп</v>
      </c>
      <c r="D260" s="67" t="str">
        <f>'натур показатели инновации+добр'!D223</f>
        <v>шт</v>
      </c>
      <c r="E260" s="169">
        <f>'патриотика0,369'!D371</f>
        <v>1.107</v>
      </c>
    </row>
    <row r="261" spans="1:5" x14ac:dyDescent="0.25">
      <c r="A261" s="653"/>
      <c r="B261" s="651"/>
      <c r="C261" s="111" t="str">
        <f>'натур показатели инновации+добр'!C224</f>
        <v>батарейка ААА 12 шт /уп</v>
      </c>
      <c r="D261" s="67" t="str">
        <f>'натур показатели инновации+добр'!D224</f>
        <v>шт</v>
      </c>
      <c r="E261" s="169">
        <f>'патриотика0,369'!D372</f>
        <v>0.73799999999999999</v>
      </c>
    </row>
    <row r="262" spans="1:5" x14ac:dyDescent="0.25">
      <c r="A262" s="653"/>
      <c r="B262" s="651"/>
      <c r="C262" s="111" t="str">
        <f>'натур показатели инновации+добр'!C225</f>
        <v>батарейка АА 24 шт /уп</v>
      </c>
      <c r="D262" s="67" t="str">
        <f>'натур показатели инновации+добр'!D225</f>
        <v>шт</v>
      </c>
      <c r="E262" s="169">
        <f>'патриотика0,369'!D373</f>
        <v>0.73799999999999999</v>
      </c>
    </row>
    <row r="263" spans="1:5" x14ac:dyDescent="0.25">
      <c r="A263" s="653"/>
      <c r="B263" s="651"/>
      <c r="C263" s="111" t="str">
        <f>'натур показатели инновации+добр'!C226</f>
        <v>батарейка АА 18 шт /уп</v>
      </c>
      <c r="D263" s="67" t="str">
        <f>'натур показатели инновации+добр'!D226</f>
        <v>шт</v>
      </c>
      <c r="E263" s="169">
        <f>'патриотика0,369'!D374</f>
        <v>1.107</v>
      </c>
    </row>
    <row r="264" spans="1:5" x14ac:dyDescent="0.25">
      <c r="A264" s="653"/>
      <c r="B264" s="651"/>
      <c r="C264" s="111" t="str">
        <f>'натур показатели инновации+добр'!C227</f>
        <v xml:space="preserve">вилка </v>
      </c>
      <c r="D264" s="67" t="str">
        <f>'натур показатели инновации+добр'!D227</f>
        <v>шт</v>
      </c>
      <c r="E264" s="169">
        <f>'патриотика0,369'!D375</f>
        <v>1.107</v>
      </c>
    </row>
    <row r="265" spans="1:5" x14ac:dyDescent="0.25">
      <c r="A265" s="653"/>
      <c r="B265" s="651"/>
      <c r="C265" s="111" t="str">
        <f>'натур показатели инновации+добр'!C228</f>
        <v>четверник</v>
      </c>
      <c r="D265" s="67" t="str">
        <f>'натур показатели инновации+добр'!D228</f>
        <v>шт</v>
      </c>
      <c r="E265" s="169">
        <f>'патриотика0,369'!D376</f>
        <v>0.36899999999999999</v>
      </c>
    </row>
    <row r="266" spans="1:5" ht="22.5" customHeight="1" x14ac:dyDescent="0.25">
      <c r="A266" s="653"/>
      <c r="B266" s="651"/>
      <c r="C266" s="111" t="str">
        <f>'натур показатели инновации+добр'!C229</f>
        <v>четверник</v>
      </c>
      <c r="D266" s="67" t="str">
        <f>'натур показатели инновации+добр'!D229</f>
        <v>шт</v>
      </c>
      <c r="E266" s="169">
        <f>'патриотика0,369'!D377</f>
        <v>0.36899999999999999</v>
      </c>
    </row>
    <row r="267" spans="1:5" x14ac:dyDescent="0.25">
      <c r="A267" s="653"/>
      <c r="B267" s="651"/>
      <c r="C267" s="111" t="str">
        <f>'натур показатели инновации+добр'!C230</f>
        <v>пугнп</v>
      </c>
      <c r="D267" s="67" t="str">
        <f>'натур показатели инновации+добр'!D230</f>
        <v>шт</v>
      </c>
      <c r="E267" s="169">
        <f>'патриотика0,369'!D378</f>
        <v>11.808</v>
      </c>
    </row>
    <row r="268" spans="1:5" x14ac:dyDescent="0.25">
      <c r="A268" s="653"/>
      <c r="B268" s="651"/>
      <c r="C268" s="111" t="str">
        <f>'натур показатели инновации+добр'!C231</f>
        <v>лампа накаливания</v>
      </c>
      <c r="D268" s="67" t="str">
        <f>'натур показатели инновации+добр'!D231</f>
        <v>шт</v>
      </c>
      <c r="E268" s="169">
        <f>'патриотика0,369'!D379</f>
        <v>2.5830000000000002</v>
      </c>
    </row>
    <row r="269" spans="1:5" x14ac:dyDescent="0.25">
      <c r="A269" s="653"/>
      <c r="B269" s="651"/>
      <c r="C269" s="111" t="str">
        <f>'натур показатели инновации+добр'!C232</f>
        <v>ключ трубный</v>
      </c>
      <c r="D269" s="67" t="str">
        <f>'натур показатели инновации+добр'!D232</f>
        <v>шт</v>
      </c>
      <c r="E269" s="169">
        <f>'патриотика0,369'!D380</f>
        <v>0.36899999999999999</v>
      </c>
    </row>
    <row r="270" spans="1:5" x14ac:dyDescent="0.25">
      <c r="A270" s="653"/>
      <c r="B270" s="651"/>
      <c r="C270" s="111" t="str">
        <f>'натур показатели инновации+добр'!C233</f>
        <v>лента фум</v>
      </c>
      <c r="D270" s="67" t="str">
        <f>'натур показатели инновации+добр'!D233</f>
        <v>шт</v>
      </c>
      <c r="E270" s="169">
        <f>'патриотика0,369'!D381</f>
        <v>0.36899999999999999</v>
      </c>
    </row>
    <row r="271" spans="1:5" x14ac:dyDescent="0.25">
      <c r="A271" s="653"/>
      <c r="B271" s="651"/>
      <c r="C271" s="111" t="str">
        <f>'натур показатели инновации+добр'!C234</f>
        <v>защелка замка</v>
      </c>
      <c r="D271" s="67" t="str">
        <f>'натур показатели инновации+добр'!D234</f>
        <v>шт</v>
      </c>
      <c r="E271" s="169">
        <f>'патриотика0,369'!D382</f>
        <v>0.36899999999999999</v>
      </c>
    </row>
    <row r="272" spans="1:5" x14ac:dyDescent="0.25">
      <c r="A272" s="653"/>
      <c r="B272" s="651"/>
      <c r="C272" s="111" t="str">
        <f>'натур показатели инновации+добр'!C235</f>
        <v>стержни клеевые по керамике</v>
      </c>
      <c r="D272" s="67" t="str">
        <f>'натур показатели инновации+добр'!D235</f>
        <v>шт</v>
      </c>
      <c r="E272" s="169">
        <f>'патриотика0,369'!D383</f>
        <v>3.69</v>
      </c>
    </row>
    <row r="273" spans="1:5" x14ac:dyDescent="0.25">
      <c r="A273" s="653"/>
      <c r="B273" s="651"/>
      <c r="C273" s="111" t="str">
        <f>'натур показатели инновации+добр'!C236</f>
        <v>щит распределительный</v>
      </c>
      <c r="D273" s="67" t="str">
        <f>'натур показатели инновации+добр'!D236</f>
        <v>шт</v>
      </c>
      <c r="E273" s="169">
        <f>'патриотика0,369'!D384</f>
        <v>0.36899999999999999</v>
      </c>
    </row>
    <row r="274" spans="1:5" x14ac:dyDescent="0.25">
      <c r="A274" s="653"/>
      <c r="B274" s="651"/>
      <c r="C274" s="111" t="str">
        <f>'натур показатели инновации+добр'!C237</f>
        <v>фен технический</v>
      </c>
      <c r="D274" s="67" t="str">
        <f>'натур показатели инновации+добр'!D237</f>
        <v>шт</v>
      </c>
      <c r="E274" s="169">
        <f>'патриотика0,369'!D385</f>
        <v>0.36899999999999999</v>
      </c>
    </row>
    <row r="275" spans="1:5" ht="22.5" customHeight="1" x14ac:dyDescent="0.25">
      <c r="A275" s="653"/>
      <c r="B275" s="651"/>
      <c r="C275" s="111" t="str">
        <f>'натур показатели инновации+добр'!C238</f>
        <v>струбцина</v>
      </c>
      <c r="D275" s="67" t="str">
        <f>'натур показатели инновации+добр'!D238</f>
        <v>шт</v>
      </c>
      <c r="E275" s="169">
        <f>'патриотика0,369'!D386</f>
        <v>0.36899999999999999</v>
      </c>
    </row>
    <row r="276" spans="1:5" x14ac:dyDescent="0.25">
      <c r="A276" s="653"/>
      <c r="B276" s="651"/>
      <c r="C276" s="111" t="str">
        <f>'натур показатели инновации+добр'!C239</f>
        <v>набор струбцины</v>
      </c>
      <c r="D276" s="67" t="str">
        <f>'натур показатели инновации+добр'!D239</f>
        <v>шт</v>
      </c>
      <c r="E276" s="169">
        <f>'патриотика0,369'!D387</f>
        <v>0.36899999999999999</v>
      </c>
    </row>
    <row r="277" spans="1:5" x14ac:dyDescent="0.25">
      <c r="A277" s="653"/>
      <c r="B277" s="651"/>
      <c r="C277" s="111" t="str">
        <f>'натур показатели инновации+добр'!C240</f>
        <v>сверло по бетону</v>
      </c>
      <c r="D277" s="67" t="str">
        <f>'натур показатели инновации+добр'!D240</f>
        <v>шт</v>
      </c>
      <c r="E277" s="169">
        <f>'патриотика0,369'!D388</f>
        <v>0.36899999999999999</v>
      </c>
    </row>
    <row r="278" spans="1:5" x14ac:dyDescent="0.25">
      <c r="A278" s="653"/>
      <c r="B278" s="651"/>
      <c r="C278" s="111" t="str">
        <f>'натур показатели инновации+добр'!C241</f>
        <v>кисть Акор работы по дереву</v>
      </c>
      <c r="D278" s="67" t="str">
        <f>'натур показатели инновации+добр'!D241</f>
        <v>шт</v>
      </c>
      <c r="E278" s="169">
        <f>'патриотика0,369'!D389</f>
        <v>3.3209999999999997</v>
      </c>
    </row>
    <row r="279" spans="1:5" x14ac:dyDescent="0.25">
      <c r="A279" s="653"/>
      <c r="B279" s="651"/>
      <c r="C279" s="111" t="str">
        <f>'натур показатели инновации+добр'!C242</f>
        <v>эмаль аэрозоль желтая 520 мл</v>
      </c>
      <c r="D279" s="67" t="str">
        <f>'натур показатели инновации+добр'!D242</f>
        <v>шт</v>
      </c>
      <c r="E279" s="169">
        <f>'патриотика0,369'!D390</f>
        <v>0.36899999999999999</v>
      </c>
    </row>
    <row r="280" spans="1:5" x14ac:dyDescent="0.25">
      <c r="A280" s="653"/>
      <c r="B280" s="651"/>
      <c r="C280" s="111" t="str">
        <f>'натур показатели инновации+добр'!C243</f>
        <v>эмаль аэрозоль голубая 520 мл</v>
      </c>
      <c r="D280" s="67" t="str">
        <f>'натур показатели инновации+добр'!D243</f>
        <v>шт</v>
      </c>
      <c r="E280" s="169">
        <f>'патриотика0,369'!D391</f>
        <v>1.107</v>
      </c>
    </row>
    <row r="281" spans="1:5" x14ac:dyDescent="0.25">
      <c r="A281" s="653"/>
      <c r="B281" s="651"/>
      <c r="C281" s="111" t="str">
        <f>'натур показатели инновации+добр'!C244</f>
        <v>набор инструментов зубр</v>
      </c>
      <c r="D281" s="67" t="str">
        <f>'натур показатели инновации+добр'!D244</f>
        <v>шт</v>
      </c>
      <c r="E281" s="169">
        <f>'патриотика0,369'!D392</f>
        <v>0.36899999999999999</v>
      </c>
    </row>
    <row r="282" spans="1:5" x14ac:dyDescent="0.25">
      <c r="A282" s="653"/>
      <c r="B282" s="651"/>
      <c r="C282" s="111" t="str">
        <f>'натур показатели инновации+добр'!C245</f>
        <v>набор сьемников для панели</v>
      </c>
      <c r="D282" s="67" t="str">
        <f>'натур показатели инновации+добр'!D245</f>
        <v>шт</v>
      </c>
      <c r="E282" s="169">
        <f>'патриотика0,369'!D393</f>
        <v>0.36899999999999999</v>
      </c>
    </row>
    <row r="283" spans="1:5" x14ac:dyDescent="0.25">
      <c r="A283" s="653"/>
      <c r="B283" s="651"/>
      <c r="C283" s="111" t="str">
        <f>'натур показатели инновации+добр'!C246</f>
        <v>смазка проникающая</v>
      </c>
      <c r="D283" s="67" t="str">
        <f>'натур показатели инновации+добр'!D246</f>
        <v>шт</v>
      </c>
      <c r="E283" s="169">
        <f>'патриотика0,369'!D394</f>
        <v>0.36899999999999999</v>
      </c>
    </row>
    <row r="284" spans="1:5" x14ac:dyDescent="0.25">
      <c r="A284" s="653"/>
      <c r="B284" s="651"/>
      <c r="C284" s="111" t="str">
        <f>'натур показатели инновации+добр'!C247</f>
        <v>воронка уфа</v>
      </c>
      <c r="D284" s="67" t="str">
        <f>'натур показатели инновации+добр'!D247</f>
        <v>шт</v>
      </c>
      <c r="E284" s="169">
        <f>'патриотика0,369'!D395</f>
        <v>0.36899999999999999</v>
      </c>
    </row>
    <row r="285" spans="1:5" x14ac:dyDescent="0.25">
      <c r="A285" s="653"/>
      <c r="B285" s="651"/>
      <c r="C285" s="111" t="str">
        <f>'натур показатели инновации+добр'!C248</f>
        <v>угол крепежный усиленный</v>
      </c>
      <c r="D285" s="67" t="str">
        <f>'натур показатели инновации+добр'!D248</f>
        <v>шт</v>
      </c>
      <c r="E285" s="169">
        <f>'патриотика0,369'!D396</f>
        <v>2.214</v>
      </c>
    </row>
    <row r="286" spans="1:5" x14ac:dyDescent="0.25">
      <c r="A286" s="653"/>
      <c r="B286" s="651"/>
      <c r="C286" s="111" t="str">
        <f>'натур показатели инновации+добр'!C249</f>
        <v>обои винил</v>
      </c>
      <c r="D286" s="67" t="str">
        <f>'натур показатели инновации+добр'!D249</f>
        <v>шт</v>
      </c>
      <c r="E286" s="169">
        <f>'патриотика0,369'!D397</f>
        <v>1.476</v>
      </c>
    </row>
    <row r="287" spans="1:5" x14ac:dyDescent="0.25">
      <c r="A287" s="653"/>
      <c r="B287" s="651"/>
      <c r="C287" s="111" t="str">
        <f>'натур показатели инновации+добр'!C250</f>
        <v>альба обои влагостойкие</v>
      </c>
      <c r="D287" s="67" t="str">
        <f>'натур показатели инновации+добр'!D250</f>
        <v>шт</v>
      </c>
      <c r="E287" s="169">
        <f>'патриотика0,369'!D398</f>
        <v>0.73799999999999999</v>
      </c>
    </row>
    <row r="288" spans="1:5" x14ac:dyDescent="0.25">
      <c r="A288" s="653"/>
      <c r="B288" s="651"/>
      <c r="C288" s="111" t="str">
        <f>'натур показатели инновации+добр'!C251</f>
        <v>эмаль пф-266 алк. Красно-коричневая</v>
      </c>
      <c r="D288" s="67" t="str">
        <f>'натур показатели инновации+добр'!D251</f>
        <v>шт</v>
      </c>
      <c r="E288" s="169">
        <f>'патриотика0,369'!D399</f>
        <v>0.73799999999999999</v>
      </c>
    </row>
    <row r="289" spans="1:5" x14ac:dyDescent="0.25">
      <c r="A289" s="653"/>
      <c r="B289" s="651"/>
      <c r="C289" s="111" t="str">
        <f>'натур показатели инновации+добр'!C252</f>
        <v>эмаль олеколор пф-115 алк белая</v>
      </c>
      <c r="D289" s="67" t="str">
        <f>'натур показатели инновации+добр'!D252</f>
        <v>шт</v>
      </c>
      <c r="E289" s="169">
        <f>'патриотика0,369'!D400</f>
        <v>0.36899999999999999</v>
      </c>
    </row>
    <row r="290" spans="1:5" x14ac:dyDescent="0.25">
      <c r="A290" s="653"/>
      <c r="B290" s="651"/>
      <c r="C290" s="111" t="str">
        <f>'натур показатели инновации+добр'!C253</f>
        <v>валик Акор мастер240*8</v>
      </c>
      <c r="D290" s="67" t="str">
        <f>'натур показатели инновации+добр'!D253</f>
        <v>шт</v>
      </c>
      <c r="E290" s="169">
        <f>'патриотика0,369'!D401</f>
        <v>0.36899999999999999</v>
      </c>
    </row>
    <row r="291" spans="1:5" x14ac:dyDescent="0.25">
      <c r="A291" s="653"/>
      <c r="B291" s="651"/>
      <c r="C291" s="111" t="str">
        <f>'натур показатели инновации+добр'!C254</f>
        <v>кисть акор столичная</v>
      </c>
      <c r="D291" s="67" t="str">
        <f>'натур показатели инновации+добр'!D254</f>
        <v>шт</v>
      </c>
      <c r="E291" s="169">
        <f>'патриотика0,369'!D402</f>
        <v>0.73799999999999999</v>
      </c>
    </row>
    <row r="292" spans="1:5" x14ac:dyDescent="0.25">
      <c r="A292" s="653"/>
      <c r="B292" s="651"/>
      <c r="C292" s="111" t="str">
        <f>'натур показатели инновации+добр'!C255</f>
        <v>клей обойный</v>
      </c>
      <c r="D292" s="67" t="str">
        <f>'натур показатели инновации+добр'!D255</f>
        <v>шт</v>
      </c>
      <c r="E292" s="169">
        <f>'патриотика0,369'!D403</f>
        <v>0.36899999999999999</v>
      </c>
    </row>
    <row r="293" spans="1:5" x14ac:dyDescent="0.25">
      <c r="A293" s="653"/>
      <c r="B293" s="651"/>
      <c r="C293" s="111" t="str">
        <f>'натур показатели инновации+добр'!C256</f>
        <v>удлинитель нильсон</v>
      </c>
      <c r="D293" s="67" t="str">
        <f>'натур показатели инновации+добр'!D256</f>
        <v>шт</v>
      </c>
      <c r="E293" s="169">
        <f>'патриотика0,369'!D404</f>
        <v>0.73799999999999999</v>
      </c>
    </row>
    <row r="294" spans="1:5" x14ac:dyDescent="0.25">
      <c r="A294" s="653"/>
      <c r="B294" s="651"/>
      <c r="C294" s="111" t="str">
        <f>'натур показатели инновации+добр'!C257</f>
        <v>штора рул 180 см</v>
      </c>
      <c r="D294" s="67" t="str">
        <f>'натур показатели инновации+добр'!D257</f>
        <v>шт</v>
      </c>
      <c r="E294" s="169">
        <f>'патриотика0,369'!D405</f>
        <v>0.36899999999999999</v>
      </c>
    </row>
    <row r="295" spans="1:5" x14ac:dyDescent="0.25">
      <c r="A295" s="653"/>
      <c r="B295" s="651"/>
      <c r="C295" s="111" t="str">
        <f>'натур показатели инновации+добр'!C258</f>
        <v>штора рул 150 см</v>
      </c>
      <c r="D295" s="67" t="str">
        <f>'натур показатели инновации+добр'!D258</f>
        <v>шт</v>
      </c>
      <c r="E295" s="169">
        <f>'патриотика0,369'!D406</f>
        <v>0.36899999999999999</v>
      </c>
    </row>
    <row r="296" spans="1:5" x14ac:dyDescent="0.25">
      <c r="A296" s="653"/>
      <c r="B296" s="651"/>
      <c r="C296" s="111" t="str">
        <f>'натур показатели инновации+добр'!C259</f>
        <v>клей космофен</v>
      </c>
      <c r="D296" s="67" t="str">
        <f>'натур показатели инновации+добр'!D259</f>
        <v>шт</v>
      </c>
      <c r="E296" s="169">
        <f>'патриотика0,369'!D407</f>
        <v>0.73799999999999999</v>
      </c>
    </row>
    <row r="297" spans="1:5" x14ac:dyDescent="0.25">
      <c r="A297" s="653"/>
      <c r="B297" s="651"/>
      <c r="C297" s="111" t="str">
        <f>'натур показатели инновации+добр'!C260</f>
        <v>обои ротанг</v>
      </c>
      <c r="D297" s="67" t="str">
        <f>'натур показатели инновации+добр'!D260</f>
        <v>шт</v>
      </c>
      <c r="E297" s="169">
        <f>'патриотика0,369'!D408</f>
        <v>1.845</v>
      </c>
    </row>
    <row r="298" spans="1:5" x14ac:dyDescent="0.25">
      <c r="A298" s="653"/>
      <c r="B298" s="651"/>
      <c r="C298" s="111" t="str">
        <f>'натур показатели инновации+добр'!C261</f>
        <v>эмаль пф-115</v>
      </c>
      <c r="D298" s="67" t="str">
        <f>'натур показатели инновации+добр'!D261</f>
        <v>шт</v>
      </c>
      <c r="E298" s="169">
        <f>'патриотика0,369'!D409</f>
        <v>0.36899999999999999</v>
      </c>
    </row>
    <row r="299" spans="1:5" x14ac:dyDescent="0.25">
      <c r="A299" s="653"/>
      <c r="B299" s="651"/>
      <c r="C299" s="111" t="str">
        <f>'натур показатели инновации+добр'!C262</f>
        <v>обои альба</v>
      </c>
      <c r="D299" s="67" t="str">
        <f>'натур показатели инновации+добр'!D262</f>
        <v>шт</v>
      </c>
      <c r="E299" s="169">
        <f>'патриотика0,369'!D410</f>
        <v>0.36899999999999999</v>
      </c>
    </row>
    <row r="300" spans="1:5" x14ac:dyDescent="0.25">
      <c r="A300" s="653"/>
      <c r="B300" s="651"/>
      <c r="C300" s="111" t="str">
        <f>'натур показатели инновации+добр'!C263</f>
        <v>гвозди строит</v>
      </c>
      <c r="D300" s="67" t="str">
        <f>'натур показатели инновации+добр'!D263</f>
        <v>шт</v>
      </c>
      <c r="E300" s="169">
        <f>'патриотика0,369'!D411</f>
        <v>1.107</v>
      </c>
    </row>
    <row r="301" spans="1:5" x14ac:dyDescent="0.25">
      <c r="A301" s="653"/>
      <c r="B301" s="651"/>
      <c r="C301" s="111" t="str">
        <f>'натур показатели инновации+добр'!C264</f>
        <v>молоток кованый</v>
      </c>
      <c r="D301" s="67" t="str">
        <f>'натур показатели инновации+добр'!D264</f>
        <v>шт</v>
      </c>
      <c r="E301" s="169">
        <f>'патриотика0,369'!D412</f>
        <v>0.36899999999999999</v>
      </c>
    </row>
    <row r="302" spans="1:5" ht="33.75" customHeight="1" x14ac:dyDescent="0.25">
      <c r="A302" s="653"/>
      <c r="B302" s="651"/>
      <c r="C302" s="111" t="str">
        <f>'натур показатели инновации+добр'!C265</f>
        <v>фанера береза</v>
      </c>
      <c r="D302" s="67" t="str">
        <f>'натур показатели инновации+добр'!D265</f>
        <v>шт</v>
      </c>
      <c r="E302" s="169">
        <f>'патриотика0,369'!D413</f>
        <v>3.69</v>
      </c>
    </row>
    <row r="303" spans="1:5" x14ac:dyDescent="0.25">
      <c r="A303" s="653"/>
      <c r="B303" s="651"/>
      <c r="C303" s="111" t="str">
        <f>'натур показатели инновации+добр'!C266</f>
        <v>проступь черная</v>
      </c>
      <c r="D303" s="67" t="str">
        <f>'натур показатели инновации+добр'!D266</f>
        <v>шт</v>
      </c>
      <c r="E303" s="169">
        <f>'патриотика0,369'!D414</f>
        <v>0.73799999999999999</v>
      </c>
    </row>
    <row r="304" spans="1:5" x14ac:dyDescent="0.25">
      <c r="A304" s="653"/>
      <c r="B304" s="651"/>
      <c r="C304" s="111" t="str">
        <f>'натур показатели инновации+добр'!C267</f>
        <v>коврик влаговпит</v>
      </c>
      <c r="D304" s="67" t="str">
        <f>'натур показатели инновации+добр'!D267</f>
        <v>шт</v>
      </c>
      <c r="E304" s="169">
        <f>'патриотика0,369'!D415</f>
        <v>0.73799999999999999</v>
      </c>
    </row>
    <row r="305" spans="1:5" x14ac:dyDescent="0.25">
      <c r="A305" s="653"/>
      <c r="B305" s="651"/>
      <c r="C305" s="111" t="str">
        <f>'натур показатели инновации+добр'!C268</f>
        <v>угол крепежный</v>
      </c>
      <c r="D305" s="67" t="str">
        <f>'натур показатели инновации+добр'!D268</f>
        <v>шт</v>
      </c>
      <c r="E305" s="169">
        <f>'патриотика0,369'!D416</f>
        <v>7.38</v>
      </c>
    </row>
    <row r="306" spans="1:5" x14ac:dyDescent="0.25">
      <c r="A306" s="653"/>
      <c r="B306" s="651"/>
      <c r="C306" s="111" t="str">
        <f>'натур показатели инновации+добр'!C269</f>
        <v>петля накладная</v>
      </c>
      <c r="D306" s="67" t="str">
        <f>'натур показатели инновации+добр'!D269</f>
        <v>шт</v>
      </c>
      <c r="E306" s="169">
        <f>'патриотика0,369'!D417</f>
        <v>0.73799999999999999</v>
      </c>
    </row>
    <row r="307" spans="1:5" x14ac:dyDescent="0.25">
      <c r="A307" s="653"/>
      <c r="B307" s="651"/>
      <c r="C307" s="111" t="str">
        <f>'натур показатели инновации+добр'!C270</f>
        <v>проушина</v>
      </c>
      <c r="D307" s="67" t="str">
        <f>'натур показатели инновации+добр'!D270</f>
        <v>шт</v>
      </c>
      <c r="E307" s="169">
        <f>'патриотика0,369'!D418</f>
        <v>0.73799999999999999</v>
      </c>
    </row>
    <row r="308" spans="1:5" x14ac:dyDescent="0.25">
      <c r="A308" s="653"/>
      <c r="B308" s="651"/>
      <c r="C308" s="111" t="str">
        <f>'натур показатели инновации+добр'!C271</f>
        <v>домкрат</v>
      </c>
      <c r="D308" s="67" t="str">
        <f>'натур показатели инновации+добр'!D271</f>
        <v>шт</v>
      </c>
      <c r="E308" s="169">
        <f>'патриотика0,369'!D419</f>
        <v>0.36899999999999999</v>
      </c>
    </row>
    <row r="309" spans="1:5" x14ac:dyDescent="0.25">
      <c r="A309" s="653"/>
      <c r="B309" s="651"/>
      <c r="C309" s="111" t="str">
        <f>'натур показатели инновации+добр'!C272</f>
        <v>скотч упаковочный</v>
      </c>
      <c r="D309" s="67" t="str">
        <f>'натур показатели инновации+добр'!D272</f>
        <v>шт</v>
      </c>
      <c r="E309" s="169">
        <f>'патриотика0,369'!D420</f>
        <v>1.845</v>
      </c>
    </row>
    <row r="310" spans="1:5" x14ac:dyDescent="0.25">
      <c r="A310" s="653"/>
      <c r="B310" s="651"/>
      <c r="C310" s="111" t="str">
        <f>'натур показатели инновации+добр'!C273</f>
        <v>скотч 48мм</v>
      </c>
      <c r="D310" s="67" t="str">
        <f>'натур показатели инновации+добр'!D273</f>
        <v>шт</v>
      </c>
      <c r="E310" s="169">
        <f>'патриотика0,369'!D421</f>
        <v>2.214</v>
      </c>
    </row>
    <row r="311" spans="1:5" x14ac:dyDescent="0.25">
      <c r="A311" s="653"/>
      <c r="B311" s="651"/>
      <c r="C311" s="111" t="str">
        <f>'натур показатели инновации+добр'!C274</f>
        <v>сердцевина цам</v>
      </c>
      <c r="D311" s="67" t="str">
        <f>'натур показатели инновации+добр'!D274</f>
        <v>шт</v>
      </c>
      <c r="E311" s="169">
        <f>'патриотика0,369'!D422</f>
        <v>0.36899999999999999</v>
      </c>
    </row>
    <row r="312" spans="1:5" x14ac:dyDescent="0.25">
      <c r="A312" s="653"/>
      <c r="B312" s="651"/>
      <c r="C312" s="111" t="str">
        <f>'натур показатели инновации+добр'!C275</f>
        <v>прожектор светодиод</v>
      </c>
      <c r="D312" s="67" t="str">
        <f>'натур показатели инновации+добр'!D275</f>
        <v>шт</v>
      </c>
      <c r="E312" s="169">
        <f>'патриотика0,369'!D423</f>
        <v>0.73799999999999999</v>
      </c>
    </row>
    <row r="313" spans="1:5" x14ac:dyDescent="0.25">
      <c r="A313" s="653"/>
      <c r="B313" s="651"/>
      <c r="C313" s="111" t="str">
        <f>'натур показатели инновации+добр'!C276</f>
        <v>эмаль акрил белая 0,8 кг</v>
      </c>
      <c r="D313" s="67" t="str">
        <f>'натур показатели инновации+добр'!D276</f>
        <v>шт</v>
      </c>
      <c r="E313" s="169">
        <f>'патриотика0,369'!D424</f>
        <v>0.36899999999999999</v>
      </c>
    </row>
    <row r="314" spans="1:5" x14ac:dyDescent="0.25">
      <c r="A314" s="653"/>
      <c r="B314" s="651"/>
      <c r="C314" s="111" t="str">
        <f>'натур показатели инновации+добр'!C277</f>
        <v>универс колер 80 мл алый</v>
      </c>
      <c r="D314" s="67" t="str">
        <f>'натур показатели инновации+добр'!D277</f>
        <v>шт</v>
      </c>
      <c r="E314" s="169">
        <f>'патриотика0,369'!D425</f>
        <v>0.36899999999999999</v>
      </c>
    </row>
    <row r="315" spans="1:5" x14ac:dyDescent="0.25">
      <c r="A315" s="653"/>
      <c r="B315" s="651"/>
      <c r="C315" s="111" t="str">
        <f>'натур показатели инновации+добр'!C278</f>
        <v>универс колер 80 мл зеленый</v>
      </c>
      <c r="D315" s="67" t="str">
        <f>'натур показатели инновации+добр'!D278</f>
        <v>шт</v>
      </c>
      <c r="E315" s="169">
        <f>'патриотика0,369'!D426</f>
        <v>0.36899999999999999</v>
      </c>
    </row>
    <row r="316" spans="1:5" x14ac:dyDescent="0.25">
      <c r="A316" s="653"/>
      <c r="B316" s="651"/>
      <c r="C316" s="111" t="str">
        <f>'натур показатели инновации+добр'!C279</f>
        <v>кран бабочка</v>
      </c>
      <c r="D316" s="67" t="str">
        <f>'натур показатели инновации+добр'!D279</f>
        <v>шт</v>
      </c>
      <c r="E316" s="169">
        <f>'патриотика0,369'!D427</f>
        <v>5.9039999999999999</v>
      </c>
    </row>
    <row r="317" spans="1:5" x14ac:dyDescent="0.25">
      <c r="A317" s="653"/>
      <c r="B317" s="651"/>
      <c r="C317" s="111" t="str">
        <f>'натур показатели инновации+добр'!C280</f>
        <v>вдк интерьерная</v>
      </c>
      <c r="D317" s="67" t="str">
        <f>'натур показатели инновации+добр'!D280</f>
        <v>шт</v>
      </c>
      <c r="E317" s="169">
        <f>'патриотика0,369'!D428</f>
        <v>0.36899999999999999</v>
      </c>
    </row>
    <row r="318" spans="1:5" x14ac:dyDescent="0.25">
      <c r="A318" s="653"/>
      <c r="B318" s="651"/>
      <c r="C318" s="111" t="str">
        <f>'натур показатели инновации+добр'!C281</f>
        <v>замок навесной</v>
      </c>
      <c r="D318" s="67" t="str">
        <f>'натур показатели инновации+добр'!D281</f>
        <v>шт</v>
      </c>
      <c r="E318" s="169">
        <f>'патриотика0,369'!D429</f>
        <v>0.36899999999999999</v>
      </c>
    </row>
    <row r="319" spans="1:5" x14ac:dyDescent="0.25">
      <c r="A319" s="653"/>
      <c r="B319" s="651"/>
      <c r="C319" s="111" t="str">
        <f>'натур показатели инновации+добр'!C282</f>
        <v>петля накладная 85 левая</v>
      </c>
      <c r="D319" s="67" t="str">
        <f>'натур показатели инновации+добр'!D282</f>
        <v>шт</v>
      </c>
      <c r="E319" s="169">
        <f>'патриотика0,369'!D430</f>
        <v>0.73799999999999999</v>
      </c>
    </row>
    <row r="320" spans="1:5" x14ac:dyDescent="0.25">
      <c r="A320" s="653"/>
      <c r="B320" s="651"/>
      <c r="C320" s="111" t="str">
        <f>'натур показатели инновации+добр'!C283</f>
        <v>петля накладная 70 правая</v>
      </c>
      <c r="D320" s="67" t="str">
        <f>'натур показатели инновации+добр'!D283</f>
        <v>шт</v>
      </c>
      <c r="E320" s="169">
        <f>'патриотика0,369'!D431</f>
        <v>2.952</v>
      </c>
    </row>
    <row r="321" spans="1:5" x14ac:dyDescent="0.25">
      <c r="A321" s="653"/>
      <c r="B321" s="651"/>
      <c r="C321" s="111" t="str">
        <f>'натур показатели инновации+добр'!C284</f>
        <v>крючок ветровой</v>
      </c>
      <c r="D321" s="67" t="str">
        <f>'натур показатели инновации+добр'!D284</f>
        <v>шт</v>
      </c>
      <c r="E321" s="169">
        <f>'патриотика0,369'!D432</f>
        <v>2.952</v>
      </c>
    </row>
    <row r="322" spans="1:5" x14ac:dyDescent="0.25">
      <c r="A322" s="653"/>
      <c r="B322" s="651"/>
      <c r="C322" s="111" t="str">
        <f>'натур показатели инновации+добр'!C285</f>
        <v>ручка-скоба</v>
      </c>
      <c r="D322" s="67" t="str">
        <f>'натур показатели инновации+добр'!D285</f>
        <v>шт</v>
      </c>
      <c r="E322" s="169">
        <f>'патриотика0,369'!D433</f>
        <v>0.73799999999999999</v>
      </c>
    </row>
    <row r="323" spans="1:5" x14ac:dyDescent="0.25">
      <c r="A323" s="653"/>
      <c r="B323" s="651"/>
      <c r="C323" s="111" t="str">
        <f>'натур показатели инновации+добр'!C286</f>
        <v>фанера 10 мм</v>
      </c>
      <c r="D323" s="67" t="str">
        <f>'натур показатели инновации+добр'!D286</f>
        <v>шт</v>
      </c>
      <c r="E323" s="169">
        <f>'патриотика0,369'!D434</f>
        <v>1.476</v>
      </c>
    </row>
    <row r="324" spans="1:5" x14ac:dyDescent="0.25">
      <c r="A324" s="653"/>
      <c r="B324" s="651"/>
      <c r="C324" s="111" t="str">
        <f>'натур показатели инновации+добр'!C287</f>
        <v>фанера 20 мм</v>
      </c>
      <c r="D324" s="67" t="str">
        <f>'натур показатели инновации+добр'!D287</f>
        <v>шт</v>
      </c>
      <c r="E324" s="169">
        <f>'патриотика0,369'!D435</f>
        <v>0.73799999999999999</v>
      </c>
    </row>
    <row r="325" spans="1:5" x14ac:dyDescent="0.25">
      <c r="A325" s="653"/>
      <c r="B325" s="651"/>
      <c r="C325" s="111" t="str">
        <f>'натур показатели инновации+добр'!C288</f>
        <v>заглушка торцевая</v>
      </c>
      <c r="D325" s="67" t="str">
        <f>'натур показатели инновации+добр'!D288</f>
        <v>шт</v>
      </c>
      <c r="E325" s="169">
        <f>'патриотика0,369'!D436</f>
        <v>3.69</v>
      </c>
    </row>
    <row r="326" spans="1:5" x14ac:dyDescent="0.25">
      <c r="A326" s="653"/>
      <c r="B326" s="651"/>
      <c r="C326" s="111" t="str">
        <f>'натур показатели инновации+добр'!C289</f>
        <v>проступь черная</v>
      </c>
      <c r="D326" s="67" t="str">
        <f>'натур показатели инновации+добр'!D289</f>
        <v>шт</v>
      </c>
      <c r="E326" s="169">
        <f>'патриотика0,369'!D437</f>
        <v>0.36899999999999999</v>
      </c>
    </row>
    <row r="327" spans="1:5" x14ac:dyDescent="0.25">
      <c r="A327" s="653"/>
      <c r="B327" s="651"/>
      <c r="C327" s="111" t="str">
        <f>'натур показатели инновации+добр'!C290</f>
        <v>замок врезной</v>
      </c>
      <c r="D327" s="67" t="str">
        <f>'натур показатели инновации+добр'!D290</f>
        <v>шт</v>
      </c>
      <c r="E327" s="169">
        <f>'патриотика0,369'!D438</f>
        <v>1.476</v>
      </c>
    </row>
    <row r="328" spans="1:5" x14ac:dyDescent="0.25">
      <c r="A328" s="653"/>
      <c r="B328" s="651"/>
      <c r="C328" s="111" t="str">
        <f>'натур показатели инновации+добр'!C291</f>
        <v>диск шлифовальный</v>
      </c>
      <c r="D328" s="67" t="str">
        <f>'натур показатели инновации+добр'!D291</f>
        <v>шт</v>
      </c>
      <c r="E328" s="169">
        <f>'патриотика0,369'!D439</f>
        <v>0.36899999999999999</v>
      </c>
    </row>
    <row r="329" spans="1:5" x14ac:dyDescent="0.25">
      <c r="A329" s="653"/>
      <c r="B329" s="651"/>
      <c r="C329" s="111" t="str">
        <f>'натур показатели инновации+добр'!C292</f>
        <v>порожек стык</v>
      </c>
      <c r="D329" s="67" t="str">
        <f>'натур показатели инновации+добр'!D292</f>
        <v>шт</v>
      </c>
      <c r="E329" s="169">
        <f>'патриотика0,369'!D440</f>
        <v>2.214</v>
      </c>
    </row>
    <row r="330" spans="1:5" x14ac:dyDescent="0.25">
      <c r="A330" s="653"/>
      <c r="B330" s="651"/>
      <c r="C330" s="111" t="str">
        <f>'натур показатели инновации+добр'!C293</f>
        <v>порожек стык</v>
      </c>
      <c r="D330" s="67" t="str">
        <f>'натур показатели инновации+добр'!D293</f>
        <v>шт</v>
      </c>
      <c r="E330" s="169">
        <f>'патриотика0,369'!D441</f>
        <v>1.107</v>
      </c>
    </row>
    <row r="331" spans="1:5" x14ac:dyDescent="0.25">
      <c r="A331" s="653"/>
      <c r="B331" s="651"/>
      <c r="C331" s="111" t="str">
        <f>'натур показатели инновации+добр'!C294</f>
        <v>грунтовка акрил 5 кг</v>
      </c>
      <c r="D331" s="67" t="str">
        <f>'натур показатели инновации+добр'!D294</f>
        <v>шт</v>
      </c>
      <c r="E331" s="169">
        <f>'патриотика0,369'!D442</f>
        <v>0.36899999999999999</v>
      </c>
    </row>
    <row r="332" spans="1:5" x14ac:dyDescent="0.25">
      <c r="A332" s="653"/>
      <c r="B332" s="651"/>
      <c r="C332" s="111" t="str">
        <f>'натур показатели инновации+добр'!C295</f>
        <v>скребок снеговой</v>
      </c>
      <c r="D332" s="67" t="str">
        <f>'натур показатели инновации+добр'!D295</f>
        <v>шт</v>
      </c>
      <c r="E332" s="169">
        <f>'патриотика0,369'!D443</f>
        <v>0.36899999999999999</v>
      </c>
    </row>
    <row r="333" spans="1:5" x14ac:dyDescent="0.25">
      <c r="A333" s="653"/>
      <c r="B333" s="651"/>
      <c r="C333" s="111" t="str">
        <f>'натур показатели инновации+добр'!C296</f>
        <v>обивка для двери эконом</v>
      </c>
      <c r="D333" s="67" t="str">
        <f>'натур показатели инновации+добр'!D296</f>
        <v>шт</v>
      </c>
      <c r="E333" s="169">
        <f>'патриотика0,369'!D444</f>
        <v>1.476</v>
      </c>
    </row>
    <row r="334" spans="1:5" x14ac:dyDescent="0.25">
      <c r="A334" s="653"/>
      <c r="B334" s="651"/>
      <c r="C334" s="111" t="str">
        <f>'натур показатели инновации+добр'!C297</f>
        <v>клей момент-монтаж</v>
      </c>
      <c r="D334" s="67" t="str">
        <f>'натур показатели инновации+добр'!D297</f>
        <v>шт</v>
      </c>
      <c r="E334" s="169">
        <f>'патриотика0,369'!D445</f>
        <v>0.73799999999999999</v>
      </c>
    </row>
    <row r="335" spans="1:5" x14ac:dyDescent="0.25">
      <c r="A335" s="653"/>
      <c r="B335" s="651"/>
      <c r="C335" s="111" t="str">
        <f>'натур показатели инновации+добр'!C298</f>
        <v>кисть акор 38*13</v>
      </c>
      <c r="D335" s="67" t="str">
        <f>'натур показатели инновации+добр'!D298</f>
        <v>шт</v>
      </c>
      <c r="E335" s="169">
        <f>'патриотика0,369'!D446</f>
        <v>0.36899999999999999</v>
      </c>
    </row>
    <row r="336" spans="1:5" x14ac:dyDescent="0.25">
      <c r="A336" s="653"/>
      <c r="B336" s="651"/>
      <c r="C336" s="111" t="str">
        <f>'натур показатели инновации+добр'!C299</f>
        <v>кисть акор 25*10</v>
      </c>
      <c r="D336" s="67" t="str">
        <f>'натур показатели инновации+добр'!D299</f>
        <v>шт</v>
      </c>
      <c r="E336" s="169">
        <f>'патриотика0,369'!D447</f>
        <v>0.36899999999999999</v>
      </c>
    </row>
    <row r="337" spans="1:5" x14ac:dyDescent="0.25">
      <c r="A337" s="653"/>
      <c r="B337" s="651"/>
      <c r="C337" s="111" t="str">
        <f>'натур показатели инновации+добр'!C300</f>
        <v>саморез с прессшайбой</v>
      </c>
      <c r="D337" s="67" t="str">
        <f>'натур показатели инновации+добр'!D300</f>
        <v>шт</v>
      </c>
      <c r="E337" s="169">
        <f>'патриотика0,369'!D448</f>
        <v>18.45</v>
      </c>
    </row>
    <row r="338" spans="1:5" x14ac:dyDescent="0.25">
      <c r="A338" s="653"/>
      <c r="B338" s="651"/>
      <c r="C338" s="111" t="str">
        <f>'натур показатели инновации+добр'!C301</f>
        <v>грунт алк серый 2,1</v>
      </c>
      <c r="D338" s="67" t="str">
        <f>'натур показатели инновации+добр'!D301</f>
        <v>шт</v>
      </c>
      <c r="E338" s="169">
        <f>'патриотика0,369'!D449</f>
        <v>0.36899999999999999</v>
      </c>
    </row>
    <row r="339" spans="1:5" x14ac:dyDescent="0.25">
      <c r="A339" s="653"/>
      <c r="B339" s="651"/>
      <c r="C339" s="111" t="str">
        <f>'натур показатели инновации+добр'!C302</f>
        <v>грунт алк серый 1 кг</v>
      </c>
      <c r="D339" s="67" t="str">
        <f>'натур показатели инновации+добр'!D302</f>
        <v>шт</v>
      </c>
      <c r="E339" s="169">
        <f>'патриотика0,369'!D450</f>
        <v>0.36899999999999999</v>
      </c>
    </row>
    <row r="340" spans="1:5" x14ac:dyDescent="0.25">
      <c r="A340" s="653"/>
      <c r="B340" s="651"/>
      <c r="C340" s="111" t="str">
        <f>'натур показатели инновации+добр'!C303</f>
        <v>кисть акор 35*10</v>
      </c>
      <c r="D340" s="67" t="str">
        <f>'натур показатели инновации+добр'!D303</f>
        <v>шт</v>
      </c>
      <c r="E340" s="169">
        <f>'патриотика0,369'!D451</f>
        <v>1.476</v>
      </c>
    </row>
    <row r="341" spans="1:5" x14ac:dyDescent="0.25">
      <c r="A341" s="653"/>
      <c r="B341" s="651"/>
      <c r="C341" s="111" t="str">
        <f>'натур показатели инновации+добр'!C304</f>
        <v>растворитель</v>
      </c>
      <c r="D341" s="67" t="str">
        <f>'натур показатели инновации+добр'!D304</f>
        <v>шт</v>
      </c>
      <c r="E341" s="169">
        <f>'патриотика0,369'!D452</f>
        <v>0.73799999999999999</v>
      </c>
    </row>
    <row r="342" spans="1:5" x14ac:dyDescent="0.25">
      <c r="A342" s="653"/>
      <c r="B342" s="651"/>
      <c r="C342" s="111" t="str">
        <f>'натур показатели инновации+добр'!C305</f>
        <v>эмаль пф-115</v>
      </c>
      <c r="D342" s="67" t="str">
        <f>'натур показатели инновации+добр'!D305</f>
        <v>шт</v>
      </c>
      <c r="E342" s="169">
        <f>'патриотика0,369'!D453</f>
        <v>0.36899999999999999</v>
      </c>
    </row>
    <row r="343" spans="1:5" x14ac:dyDescent="0.25">
      <c r="A343" s="653"/>
      <c r="B343" s="651"/>
      <c r="C343" s="111" t="str">
        <f>'натур показатели инновации+добр'!C306</f>
        <v>клей космофен</v>
      </c>
      <c r="D343" s="67" t="str">
        <f>'натур показатели инновации+добр'!D306</f>
        <v>шт</v>
      </c>
      <c r="E343" s="169">
        <f>'патриотика0,369'!D454</f>
        <v>0.36899999999999999</v>
      </c>
    </row>
    <row r="344" spans="1:5" x14ac:dyDescent="0.25">
      <c r="A344" s="653"/>
      <c r="B344" s="651"/>
      <c r="C344" s="111" t="str">
        <f>'натур показатели инновации+добр'!C307</f>
        <v>щетка чашечная 0,3*60</v>
      </c>
      <c r="D344" s="67" t="str">
        <f>'натур показатели инновации+добр'!D307</f>
        <v>шт</v>
      </c>
      <c r="E344" s="169">
        <f>'патриотика0,369'!D455</f>
        <v>1.107</v>
      </c>
    </row>
    <row r="345" spans="1:5" x14ac:dyDescent="0.25">
      <c r="A345" s="653"/>
      <c r="B345" s="651"/>
      <c r="C345" s="111" t="str">
        <f>'натур показатели инновации+добр'!C308</f>
        <v>щетка чашечная 0,3*75</v>
      </c>
      <c r="D345" s="67" t="str">
        <f>'натур показатели инновации+добр'!D308</f>
        <v>шт</v>
      </c>
      <c r="E345" s="169">
        <f>'патриотика0,369'!D456</f>
        <v>0.73799999999999999</v>
      </c>
    </row>
    <row r="346" spans="1:5" x14ac:dyDescent="0.25">
      <c r="A346" s="653"/>
      <c r="B346" s="651"/>
      <c r="C346" s="111" t="str">
        <f>'натур показатели инновации+добр'!C309</f>
        <v>угол внутренний, наружный</v>
      </c>
      <c r="D346" s="67" t="str">
        <f>'натур показатели инновации+добр'!D309</f>
        <v>шт</v>
      </c>
      <c r="E346" s="169">
        <f>'патриотика0,369'!D457</f>
        <v>7.38</v>
      </c>
    </row>
    <row r="347" spans="1:5" x14ac:dyDescent="0.25">
      <c r="A347" s="653"/>
      <c r="B347" s="651"/>
      <c r="C347" s="111" t="str">
        <f>'натур показатели инновации+добр'!C310</f>
        <v>биты 10 шт</v>
      </c>
      <c r="D347" s="67" t="str">
        <f>'натур показатели инновации+добр'!D310</f>
        <v>шт</v>
      </c>
      <c r="E347" s="169">
        <f>'патриотика0,369'!D458</f>
        <v>3.69</v>
      </c>
    </row>
    <row r="348" spans="1:5" x14ac:dyDescent="0.25">
      <c r="A348" s="653"/>
      <c r="B348" s="651"/>
      <c r="C348" s="111" t="str">
        <f>'натур показатели инновации+добр'!C311</f>
        <v>болт шестигранный</v>
      </c>
      <c r="D348" s="67" t="str">
        <f>'натур показатели инновации+добр'!D311</f>
        <v>шт</v>
      </c>
      <c r="E348" s="169">
        <f>'патриотика0,369'!D459</f>
        <v>33.579000000000001</v>
      </c>
    </row>
    <row r="349" spans="1:5" x14ac:dyDescent="0.25">
      <c r="A349" s="653"/>
      <c r="B349" s="651"/>
      <c r="C349" s="111" t="str">
        <f>'натур показатели инновации+добр'!C312</f>
        <v>гайка шестигранная</v>
      </c>
      <c r="D349" s="67" t="str">
        <f>'натур показатели инновации+добр'!D312</f>
        <v>шт</v>
      </c>
      <c r="E349" s="169">
        <f>'патриотика0,369'!D460</f>
        <v>33.579000000000001</v>
      </c>
    </row>
    <row r="350" spans="1:5" x14ac:dyDescent="0.25">
      <c r="A350" s="653"/>
      <c r="B350" s="651"/>
      <c r="C350" s="111" t="str">
        <f>'натур показатели инновации+добр'!C313</f>
        <v>шайба плоская</v>
      </c>
      <c r="D350" s="67" t="str">
        <f>'натур показатели инновации+добр'!D313</f>
        <v>шт</v>
      </c>
      <c r="E350" s="169">
        <f>'патриотика0,369'!D461</f>
        <v>66.42</v>
      </c>
    </row>
    <row r="351" spans="1:5" x14ac:dyDescent="0.25">
      <c r="A351" s="653"/>
      <c r="B351" s="651"/>
      <c r="C351" s="111" t="str">
        <f>'натур показатели инновации+добр'!C314</f>
        <v>сверло по металлу</v>
      </c>
      <c r="D351" s="67" t="str">
        <f>'натур показатели инновации+добр'!D314</f>
        <v>шт</v>
      </c>
      <c r="E351" s="169">
        <f>'патриотика0,369'!D462</f>
        <v>0.36899999999999999</v>
      </c>
    </row>
    <row r="352" spans="1:5" x14ac:dyDescent="0.25">
      <c r="A352" s="653"/>
      <c r="B352" s="651"/>
      <c r="C352" s="111" t="str">
        <f>'натур показатели инновации+добр'!C315</f>
        <v>винт головка полусфера 5*50</v>
      </c>
      <c r="D352" s="67" t="str">
        <f>'натур показатели инновации+добр'!D315</f>
        <v>шт</v>
      </c>
      <c r="E352" s="169">
        <f>'патриотика0,369'!D463</f>
        <v>64.206000000000003</v>
      </c>
    </row>
    <row r="353" spans="1:5" x14ac:dyDescent="0.25">
      <c r="A353" s="653"/>
      <c r="B353" s="651"/>
      <c r="C353" s="111" t="str">
        <f>'натур показатели инновации+добр'!C316</f>
        <v>винт головка полусфера 5*40</v>
      </c>
      <c r="D353" s="67" t="str">
        <f>'натур показатели инновации+добр'!D316</f>
        <v>шт</v>
      </c>
      <c r="E353" s="169">
        <f>'патриотика0,369'!D464</f>
        <v>25.460999999999999</v>
      </c>
    </row>
    <row r="354" spans="1:5" x14ac:dyDescent="0.25">
      <c r="A354" s="653"/>
      <c r="B354" s="651"/>
      <c r="C354" s="111" t="str">
        <f>'натур показатели инновации+добр'!C317</f>
        <v>винт головка полусфера 5*40</v>
      </c>
      <c r="D354" s="67" t="str">
        <f>'натур показатели инновации+добр'!D317</f>
        <v>шт</v>
      </c>
      <c r="E354" s="169">
        <f>'патриотика0,369'!D465</f>
        <v>26.198999999999998</v>
      </c>
    </row>
    <row r="355" spans="1:5" x14ac:dyDescent="0.25">
      <c r="A355" s="653"/>
      <c r="B355" s="651"/>
      <c r="C355" s="111" t="str">
        <f>'натур показатели инновации+добр'!C318</f>
        <v>сверло по металллу</v>
      </c>
      <c r="D355" s="67" t="str">
        <f>'натур показатели инновации+добр'!D318</f>
        <v>шт</v>
      </c>
      <c r="E355" s="169">
        <f>'патриотика0,369'!D466</f>
        <v>1.476</v>
      </c>
    </row>
    <row r="356" spans="1:5" x14ac:dyDescent="0.25">
      <c r="A356" s="653"/>
      <c r="B356" s="651"/>
      <c r="C356" s="111" t="str">
        <f>'натур показатели инновации+добр'!C319</f>
        <v>сверло по металллу 5*86</v>
      </c>
      <c r="D356" s="67" t="str">
        <f>'натур показатели инновации+добр'!D319</f>
        <v>шт</v>
      </c>
      <c r="E356" s="169">
        <f>'патриотика0,369'!D467</f>
        <v>1.476</v>
      </c>
    </row>
    <row r="357" spans="1:5" x14ac:dyDescent="0.25">
      <c r="A357" s="653"/>
      <c r="B357" s="651"/>
      <c r="C357" s="111" t="str">
        <f>'натур показатели инновации+добр'!C320</f>
        <v>петля накладная цинк</v>
      </c>
      <c r="D357" s="67" t="str">
        <f>'натур показатели инновации+добр'!D320</f>
        <v>шт</v>
      </c>
      <c r="E357" s="169">
        <f>'патриотика0,369'!D468</f>
        <v>0.73799999999999999</v>
      </c>
    </row>
    <row r="358" spans="1:5" x14ac:dyDescent="0.25">
      <c r="A358" s="653"/>
      <c r="B358" s="651"/>
      <c r="C358" s="111" t="str">
        <f>'натур показатели инновации+добр'!C321</f>
        <v>гайка со стоп кольцом</v>
      </c>
      <c r="D358" s="67" t="str">
        <f>'натур показатели инновации+добр'!D321</f>
        <v>шт</v>
      </c>
      <c r="E358" s="169">
        <f>'патриотика0,369'!D469</f>
        <v>115.866</v>
      </c>
    </row>
    <row r="359" spans="1:5" x14ac:dyDescent="0.25">
      <c r="A359" s="653"/>
      <c r="B359" s="651"/>
      <c r="C359" s="111" t="str">
        <f>'натур показатели инновации+добр'!C322</f>
        <v>шайба плоская</v>
      </c>
      <c r="D359" s="67" t="str">
        <f>'натур показатели инновации+добр'!D322</f>
        <v>шт</v>
      </c>
      <c r="E359" s="169">
        <f>'патриотика0,369'!D470</f>
        <v>231.732</v>
      </c>
    </row>
    <row r="360" spans="1:5" x14ac:dyDescent="0.25">
      <c r="A360" s="653"/>
      <c r="B360" s="651"/>
      <c r="C360" s="111" t="str">
        <f>'натур показатели инновации+добр'!C323</f>
        <v>сердцевина в замок</v>
      </c>
      <c r="D360" s="67" t="str">
        <f>'натур показатели инновации+добр'!D323</f>
        <v>шт</v>
      </c>
      <c r="E360" s="169">
        <f>'патриотика0,369'!D471</f>
        <v>0.73799999999999999</v>
      </c>
    </row>
    <row r="361" spans="1:5" x14ac:dyDescent="0.25">
      <c r="A361" s="653"/>
      <c r="B361" s="651"/>
      <c r="C361" s="111" t="str">
        <f>'натур показатели инновации+добр'!C324</f>
        <v>ограничитель напольный</v>
      </c>
      <c r="D361" s="67" t="str">
        <f>'натур показатели инновации+добр'!D324</f>
        <v>шт</v>
      </c>
      <c r="E361" s="169">
        <f>'патриотика0,369'!D472</f>
        <v>1.107</v>
      </c>
    </row>
    <row r="362" spans="1:5" x14ac:dyDescent="0.25">
      <c r="A362" s="653"/>
      <c r="B362" s="651"/>
      <c r="C362" s="111" t="str">
        <f>'натур показатели инновации+добр'!C325</f>
        <v>обивка для двери эконом</v>
      </c>
      <c r="D362" s="67" t="str">
        <f>'натур показатели инновации+добр'!D325</f>
        <v>шт</v>
      </c>
      <c r="E362" s="169">
        <f>'патриотика0,369'!D473</f>
        <v>0.36899999999999999</v>
      </c>
    </row>
    <row r="363" spans="1:5" x14ac:dyDescent="0.25">
      <c r="A363" s="653"/>
      <c r="B363" s="651"/>
      <c r="C363" s="111" t="str">
        <f>'натур показатели инновации+добр'!C326</f>
        <v>щетка чашечная 0,3*60</v>
      </c>
      <c r="D363" s="67" t="str">
        <f>'натур показатели инновации+добр'!D326</f>
        <v>шт</v>
      </c>
      <c r="E363" s="169">
        <f>'патриотика0,369'!D474</f>
        <v>1.476</v>
      </c>
    </row>
    <row r="364" spans="1:5" x14ac:dyDescent="0.25">
      <c r="A364" s="653"/>
      <c r="B364" s="651"/>
      <c r="C364" s="111" t="str">
        <f>'натур показатели инновации+добр'!C327</f>
        <v>саморез с прессшайбой</v>
      </c>
      <c r="D364" s="67" t="str">
        <f>'натур показатели инновации+добр'!D327</f>
        <v>шт</v>
      </c>
      <c r="E364" s="169">
        <f>'патриотика0,369'!D475</f>
        <v>11.07</v>
      </c>
    </row>
    <row r="365" spans="1:5" x14ac:dyDescent="0.25">
      <c r="A365" s="653"/>
      <c r="B365" s="651"/>
      <c r="C365" s="111" t="str">
        <f>'натур показатели инновации+добр'!C328</f>
        <v>звонок беспроводной</v>
      </c>
      <c r="D365" s="67" t="str">
        <f>'натур показатели инновации+добр'!D328</f>
        <v>шт</v>
      </c>
      <c r="E365" s="169">
        <f>'патриотика0,369'!D476</f>
        <v>0.36899999999999999</v>
      </c>
    </row>
    <row r="366" spans="1:5" x14ac:dyDescent="0.25">
      <c r="A366" s="653"/>
      <c r="B366" s="651"/>
      <c r="C366" s="111" t="str">
        <f>'натур показатели инновации+добр'!C329</f>
        <v>кисть акор 75*12</v>
      </c>
      <c r="D366" s="67" t="str">
        <f>'натур показатели инновации+добр'!D329</f>
        <v>шт</v>
      </c>
      <c r="E366" s="169">
        <f>'патриотика0,369'!D477</f>
        <v>0.36899999999999999</v>
      </c>
    </row>
    <row r="367" spans="1:5" x14ac:dyDescent="0.25">
      <c r="A367" s="653"/>
      <c r="B367" s="651"/>
      <c r="C367" s="111" t="str">
        <f>'натур показатели инновации+добр'!C330</f>
        <v>кисть акор 50*10</v>
      </c>
      <c r="D367" s="67" t="str">
        <f>'натур показатели инновации+добр'!D330</f>
        <v>шт</v>
      </c>
      <c r="E367" s="169">
        <f>'патриотика0,369'!D478</f>
        <v>0.36899999999999999</v>
      </c>
    </row>
    <row r="368" spans="1:5" x14ac:dyDescent="0.25">
      <c r="A368" s="653"/>
      <c r="B368" s="651"/>
      <c r="C368" s="111" t="str">
        <f>'натур показатели инновации+добр'!C331</f>
        <v>клей момент-монтаж</v>
      </c>
      <c r="D368" s="67" t="str">
        <f>'натур показатели инновации+добр'!D331</f>
        <v>шт</v>
      </c>
      <c r="E368" s="169">
        <f>'патриотика0,369'!D479</f>
        <v>6.2729999999999997</v>
      </c>
    </row>
    <row r="369" spans="1:5" x14ac:dyDescent="0.25">
      <c r="A369" s="653"/>
      <c r="B369" s="651"/>
      <c r="C369" s="111" t="str">
        <f>'натур показатели инновации+добр'!C332</f>
        <v>эмаль-аэрозоль</v>
      </c>
      <c r="D369" s="67" t="str">
        <f>'натур показатели инновации+добр'!D332</f>
        <v>шт</v>
      </c>
      <c r="E369" s="169">
        <f>'патриотика0,369'!D480</f>
        <v>2.5830000000000002</v>
      </c>
    </row>
    <row r="370" spans="1:5" x14ac:dyDescent="0.25">
      <c r="A370" s="653"/>
      <c r="B370" s="651"/>
      <c r="C370" s="111" t="str">
        <f>'натур показатели инновации+добр'!C333</f>
        <v>аквалазурь</v>
      </c>
      <c r="D370" s="67" t="str">
        <f>'натур показатели инновации+добр'!D333</f>
        <v>шт</v>
      </c>
      <c r="E370" s="169">
        <f>'патриотика0,369'!D481</f>
        <v>0.36899999999999999</v>
      </c>
    </row>
    <row r="371" spans="1:5" x14ac:dyDescent="0.25">
      <c r="A371" s="653"/>
      <c r="B371" s="651"/>
      <c r="C371" s="111" t="str">
        <f>'натур показатели инновации+добр'!C334</f>
        <v>кисть акор 50*14</v>
      </c>
      <c r="D371" s="67" t="str">
        <f>'натур показатели инновации+добр'!D334</f>
        <v>шт</v>
      </c>
      <c r="E371" s="169">
        <f>'патриотика0,369'!D482</f>
        <v>0.36899999999999999</v>
      </c>
    </row>
    <row r="372" spans="1:5" x14ac:dyDescent="0.25">
      <c r="A372" s="653"/>
      <c r="B372" s="651"/>
      <c r="C372" s="111" t="str">
        <f>'натур показатели инновации+добр'!C335</f>
        <v>кисть акор 25*10</v>
      </c>
      <c r="D372" s="67" t="str">
        <f>'натур показатели инновации+добр'!D335</f>
        <v>шт</v>
      </c>
      <c r="E372" s="169">
        <f>'патриотика0,369'!D483</f>
        <v>0.36899999999999999</v>
      </c>
    </row>
    <row r="373" spans="1:5" x14ac:dyDescent="0.25">
      <c r="A373" s="653"/>
      <c r="B373" s="651"/>
      <c r="C373" s="111" t="str">
        <f>'натур показатели инновации+добр'!C336</f>
        <v>шуруп кольцо</v>
      </c>
      <c r="D373" s="67" t="str">
        <f>'натур показатели инновации+добр'!D336</f>
        <v>шт</v>
      </c>
      <c r="E373" s="169">
        <f>'патриотика0,369'!D484</f>
        <v>0.73799999999999999</v>
      </c>
    </row>
    <row r="374" spans="1:5" x14ac:dyDescent="0.25">
      <c r="A374" s="653"/>
      <c r="B374" s="651"/>
      <c r="C374" s="111" t="str">
        <f>'натур показатели инновации+добр'!C337</f>
        <v>болт шестигранник</v>
      </c>
      <c r="D374" s="67" t="str">
        <f>'натур показатели инновации+добр'!D337</f>
        <v>шт</v>
      </c>
      <c r="E374" s="169">
        <f>'патриотика0,369'!D485</f>
        <v>3.69</v>
      </c>
    </row>
    <row r="375" spans="1:5" x14ac:dyDescent="0.25">
      <c r="A375" s="653"/>
      <c r="B375" s="651"/>
      <c r="C375" s="111" t="str">
        <f>'натур показатели инновации+добр'!C338</f>
        <v>клей монтажный</v>
      </c>
      <c r="D375" s="67" t="str">
        <f>'натур показатели инновации+добр'!D338</f>
        <v>шт</v>
      </c>
      <c r="E375" s="169">
        <f>'патриотика0,369'!D486</f>
        <v>2.214</v>
      </c>
    </row>
    <row r="376" spans="1:5" x14ac:dyDescent="0.25">
      <c r="A376" s="653"/>
      <c r="B376" s="651"/>
      <c r="C376" s="111" t="str">
        <f>'натур показатели инновации+добр'!C339</f>
        <v>лопата снеговая</v>
      </c>
      <c r="D376" s="67" t="str">
        <f>'натур показатели инновации+добр'!D339</f>
        <v>шт</v>
      </c>
      <c r="E376" s="169">
        <f>'патриотика0,369'!D487</f>
        <v>0.36899999999999999</v>
      </c>
    </row>
    <row r="377" spans="1:5" x14ac:dyDescent="0.25">
      <c r="A377" s="653"/>
      <c r="B377" s="651"/>
      <c r="C377" s="111" t="str">
        <f>'натур показатели инновации+добр'!C340</f>
        <v>универсальный колер</v>
      </c>
      <c r="D377" s="67" t="str">
        <f>'натур показатели инновации+добр'!D340</f>
        <v>шт</v>
      </c>
      <c r="E377" s="169">
        <f>'патриотика0,369'!D488</f>
        <v>1.107</v>
      </c>
    </row>
    <row r="378" spans="1:5" x14ac:dyDescent="0.25">
      <c r="A378" s="653"/>
      <c r="B378" s="651"/>
      <c r="C378" s="111" t="str">
        <f>'натур показатели инновации+добр'!C341</f>
        <v>паста колеровочная</v>
      </c>
      <c r="D378" s="67" t="str">
        <f>'натур показатели инновации+добр'!D341</f>
        <v>шт</v>
      </c>
      <c r="E378" s="169">
        <f>'патриотика0,369'!D489</f>
        <v>0.36899999999999999</v>
      </c>
    </row>
    <row r="379" spans="1:5" x14ac:dyDescent="0.25">
      <c r="A379" s="653"/>
      <c r="B379" s="651"/>
      <c r="C379" s="111" t="str">
        <f>'натур показатели инновации+добр'!C342</f>
        <v>клей момент-монтаж</v>
      </c>
      <c r="D379" s="67" t="str">
        <f>'натур показатели инновации+добр'!D342</f>
        <v>шт</v>
      </c>
      <c r="E379" s="169">
        <f>'патриотика0,369'!D490</f>
        <v>0.73799999999999999</v>
      </c>
    </row>
    <row r="380" spans="1:5" x14ac:dyDescent="0.25">
      <c r="A380" s="653"/>
      <c r="B380" s="651"/>
      <c r="C380" s="111" t="str">
        <f>'натур показатели инновации+добр'!C343</f>
        <v>ГСМ УАЗ (Масло двигатель)</v>
      </c>
      <c r="D380" s="67" t="str">
        <f>'натур показатели инновации+добр'!D343</f>
        <v>шт</v>
      </c>
      <c r="E380" s="169">
        <f>'патриотика0,369'!D491</f>
        <v>0</v>
      </c>
    </row>
    <row r="381" spans="1:5" x14ac:dyDescent="0.25">
      <c r="A381" s="653"/>
      <c r="B381" s="651"/>
      <c r="C381" s="111" t="str">
        <f>'натур показатели инновации+добр'!C344</f>
        <v>Чернила Canon 135 мл черные</v>
      </c>
      <c r="D381" s="67" t="str">
        <f>'натур показатели инновации+добр'!D344</f>
        <v>шт</v>
      </c>
      <c r="E381" s="169">
        <f>'патриотика0,369'!D492</f>
        <v>1.107</v>
      </c>
    </row>
    <row r="382" spans="1:5" x14ac:dyDescent="0.25">
      <c r="A382" s="653"/>
      <c r="B382" s="651"/>
      <c r="C382" s="111" t="str">
        <f>'натур показатели инновации+добр'!C345</f>
        <v>Чернила Canon 70 мл голубые</v>
      </c>
      <c r="D382" s="67" t="s">
        <v>82</v>
      </c>
      <c r="E382" s="169">
        <f>'патриотика0,369'!D493</f>
        <v>1.107</v>
      </c>
    </row>
    <row r="383" spans="1:5" x14ac:dyDescent="0.25">
      <c r="A383" s="653"/>
      <c r="B383" s="651"/>
      <c r="C383" s="111" t="str">
        <f>'натур показатели инновации+добр'!C346</f>
        <v>Чернила Canon 70 мл урпур</v>
      </c>
      <c r="D383" s="67" t="s">
        <v>82</v>
      </c>
      <c r="E383" s="169">
        <f>'патриотика0,369'!D494</f>
        <v>1.107</v>
      </c>
    </row>
    <row r="384" spans="1:5" x14ac:dyDescent="0.25">
      <c r="A384" s="653"/>
      <c r="B384" s="651"/>
      <c r="C384" s="111" t="str">
        <f>'натур показатели инновации+добр'!C347</f>
        <v>Чернила Canon 70 мл желтые</v>
      </c>
      <c r="D384" s="67" t="s">
        <v>82</v>
      </c>
      <c r="E384" s="169">
        <f>'патриотика0,369'!D495</f>
        <v>1.107</v>
      </c>
    </row>
    <row r="385" spans="1:5" x14ac:dyDescent="0.25">
      <c r="A385" s="653"/>
      <c r="B385" s="651"/>
      <c r="C385" s="111" t="str">
        <f>'натур показатели инновации+добр'!C348</f>
        <v>батарейка ААА</v>
      </c>
      <c r="D385" s="67" t="s">
        <v>82</v>
      </c>
      <c r="E385" s="169">
        <f>'патриотика0,369'!D496</f>
        <v>36.9</v>
      </c>
    </row>
    <row r="386" spans="1:5" x14ac:dyDescent="0.25">
      <c r="A386" s="653"/>
      <c r="B386" s="651"/>
      <c r="C386" s="111" t="str">
        <f>'натур показатели инновации+добр'!C349</f>
        <v>батарейка АА</v>
      </c>
      <c r="D386" s="67" t="s">
        <v>82</v>
      </c>
      <c r="E386" s="169">
        <f>'патриотика0,369'!D497</f>
        <v>36.9</v>
      </c>
    </row>
    <row r="387" spans="1:5" x14ac:dyDescent="0.25">
      <c r="A387" s="653"/>
      <c r="B387" s="651"/>
      <c r="C387" s="111" t="str">
        <f>'натур показатели инновации+добр'!C350</f>
        <v>ГСМ Бензин</v>
      </c>
      <c r="D387" s="67" t="s">
        <v>82</v>
      </c>
      <c r="E387" s="169">
        <f>'патриотика0,369'!D498</f>
        <v>738</v>
      </c>
    </row>
    <row r="388" spans="1:5" x14ac:dyDescent="0.25">
      <c r="A388" s="653"/>
      <c r="B388" s="651"/>
      <c r="C388" s="111" t="str">
        <f>'натур показатели инновации+добр'!C351</f>
        <v>ГСМ Бензин</v>
      </c>
      <c r="D388" s="67" t="s">
        <v>82</v>
      </c>
      <c r="E388" s="169">
        <f>'патриотика0,369'!D499</f>
        <v>36.9</v>
      </c>
    </row>
    <row r="389" spans="1:5" x14ac:dyDescent="0.25">
      <c r="A389" s="653"/>
      <c r="B389" s="651"/>
      <c r="C389" s="111" t="str">
        <f>'натур показатели инновации+добр'!C352</f>
        <v>Профиль металлический</v>
      </c>
      <c r="D389" s="67" t="s">
        <v>82</v>
      </c>
      <c r="E389" s="169">
        <f>'патриотика0,369'!D500</f>
        <v>1.845</v>
      </c>
    </row>
    <row r="390" spans="1:5" x14ac:dyDescent="0.25">
      <c r="A390" s="653"/>
      <c r="B390" s="651"/>
      <c r="C390" s="111" t="str">
        <f>'натур показатели инновации+добр'!C353</f>
        <v>Цемент</v>
      </c>
      <c r="D390" s="67" t="s">
        <v>82</v>
      </c>
      <c r="E390" s="169">
        <f>'патриотика0,369'!D501</f>
        <v>0.73799999999999999</v>
      </c>
    </row>
    <row r="391" spans="1:5" x14ac:dyDescent="0.25">
      <c r="A391" s="653"/>
      <c r="B391" s="651"/>
      <c r="C391" s="111" t="str">
        <f>'натур показатели инновации+добр'!C354</f>
        <v>Саморезы</v>
      </c>
      <c r="D391" s="67" t="s">
        <v>82</v>
      </c>
      <c r="E391" s="169">
        <f>'патриотика0,369'!D502</f>
        <v>0.36899999999999999</v>
      </c>
    </row>
    <row r="392" spans="1:5" x14ac:dyDescent="0.25">
      <c r="A392" s="653"/>
      <c r="B392" s="651"/>
      <c r="C392" s="111" t="str">
        <f>'натур показатели инновации+добр'!C355</f>
        <v>Фанера 10 мм</v>
      </c>
      <c r="D392" s="67" t="s">
        <v>82</v>
      </c>
      <c r="E392" s="169">
        <f>'патриотика0,369'!D503</f>
        <v>2.214</v>
      </c>
    </row>
    <row r="393" spans="1:5" x14ac:dyDescent="0.25">
      <c r="A393" s="653"/>
      <c r="B393" s="651"/>
      <c r="C393" s="111" t="str">
        <f>'натур показатели инновации+добр'!C356</f>
        <v>Перчатки, мешки</v>
      </c>
      <c r="D393" s="67" t="s">
        <v>82</v>
      </c>
      <c r="E393" s="169">
        <f>'патриотика0,369'!D504</f>
        <v>0.36899999999999999</v>
      </c>
    </row>
    <row r="394" spans="1:5" x14ac:dyDescent="0.25">
      <c r="A394" s="653"/>
      <c r="B394" s="651"/>
      <c r="C394" s="111" t="str">
        <f>'натур показатели инновации+добр'!C357</f>
        <v>Краска акриловая 10 л</v>
      </c>
      <c r="D394" s="67" t="s">
        <v>82</v>
      </c>
      <c r="E394" s="169">
        <f>'патриотика0,369'!D505</f>
        <v>0.73799999999999999</v>
      </c>
    </row>
    <row r="395" spans="1:5" x14ac:dyDescent="0.25">
      <c r="A395" s="653"/>
      <c r="B395" s="651"/>
      <c r="C395" s="111" t="str">
        <f>'натур показатели инновации+добр'!C358</f>
        <v>Колер для акриловой краски в ассортименте</v>
      </c>
      <c r="D395" s="67" t="s">
        <v>82</v>
      </c>
      <c r="E395" s="169">
        <f>'патриотика0,369'!D506</f>
        <v>3.69</v>
      </c>
    </row>
    <row r="396" spans="1:5" x14ac:dyDescent="0.25">
      <c r="A396" s="653"/>
      <c r="B396" s="651"/>
      <c r="C396" s="111" t="str">
        <f>'натур показатели инновации+добр'!C359</f>
        <v>Сверла, лезвия для лобзика</v>
      </c>
      <c r="D396" s="67" t="s">
        <v>82</v>
      </c>
      <c r="E396" s="169">
        <f>'патриотика0,369'!D507</f>
        <v>0.36899999999999999</v>
      </c>
    </row>
    <row r="397" spans="1:5" ht="22.5" x14ac:dyDescent="0.25">
      <c r="A397" s="653"/>
      <c r="B397" s="651"/>
      <c r="C397" s="111" t="str">
        <f>'натур показатели инновации+добр'!C360</f>
        <v>Кабель бабина витая пара UTP, 4 пары Cat.5e outdoor (305 м)</v>
      </c>
      <c r="D397" s="67" t="s">
        <v>82</v>
      </c>
      <c r="E397" s="169">
        <f>'патриотика0,369'!D508</f>
        <v>0.73799999999999999</v>
      </c>
    </row>
    <row r="398" spans="1:5" x14ac:dyDescent="0.25">
      <c r="A398" s="653"/>
      <c r="B398" s="651"/>
      <c r="C398" s="111" t="str">
        <f>'натур показатели инновации+добр'!C361</f>
        <v>кабель витая пара</v>
      </c>
      <c r="D398" s="67" t="s">
        <v>82</v>
      </c>
      <c r="E398" s="169">
        <f>'патриотика0,369'!D509</f>
        <v>0.73799999999999999</v>
      </c>
    </row>
    <row r="399" spans="1:5" x14ac:dyDescent="0.25">
      <c r="A399" s="653"/>
      <c r="B399" s="651"/>
      <c r="C399" s="111" t="str">
        <f>'натур показатели инновации+добр'!C362</f>
        <v>Коннектор</v>
      </c>
      <c r="D399" s="67" t="s">
        <v>82</v>
      </c>
      <c r="E399" s="169">
        <f>'патриотика0,369'!D510</f>
        <v>0.36899999999999999</v>
      </c>
    </row>
    <row r="400" spans="1:5" ht="22.5" x14ac:dyDescent="0.25">
      <c r="A400" s="653"/>
      <c r="B400" s="651"/>
      <c r="C400" s="111" t="str">
        <f>'натур показатели инновации+добр'!C363</f>
        <v xml:space="preserve">средства индивидуальной защиты и дезинфекционные средства </v>
      </c>
      <c r="D400" s="67" t="s">
        <v>82</v>
      </c>
      <c r="E400" s="169">
        <f>'патриотика0,369'!D511</f>
        <v>0.36899999999999999</v>
      </c>
    </row>
    <row r="401" spans="1:5" x14ac:dyDescent="0.25">
      <c r="A401" s="653"/>
      <c r="B401" s="651"/>
      <c r="C401" s="111" t="str">
        <f>'натур показатели инновации+добр'!C364</f>
        <v>Гамак</v>
      </c>
      <c r="D401" s="67" t="s">
        <v>82</v>
      </c>
      <c r="E401" s="169">
        <f>'патриотика0,369'!D512</f>
        <v>2.16</v>
      </c>
    </row>
    <row r="402" spans="1:5" x14ac:dyDescent="0.25">
      <c r="A402" s="653"/>
      <c r="B402" s="651"/>
      <c r="C402" s="111" t="str">
        <f>'натур показатели инновации+добр'!C365</f>
        <v>Будо-Мат EVA «Ласточкин Хвост» м2, толщина 2 см</v>
      </c>
      <c r="D402" s="67" t="s">
        <v>82</v>
      </c>
      <c r="E402" s="169">
        <f>'патриотика0,369'!D513</f>
        <v>14.76</v>
      </c>
    </row>
    <row r="403" spans="1:5" x14ac:dyDescent="0.25">
      <c r="A403" s="653"/>
      <c r="B403" s="651"/>
      <c r="C403" s="111" t="str">
        <f>'натур показатели инновации+добр'!C366</f>
        <v>Карабины металл</v>
      </c>
      <c r="D403" s="67" t="s">
        <v>82</v>
      </c>
      <c r="E403" s="169">
        <f>'патриотика0,369'!D514</f>
        <v>11.808</v>
      </c>
    </row>
    <row r="404" spans="1:5" x14ac:dyDescent="0.25">
      <c r="A404" s="653"/>
      <c r="B404" s="651"/>
      <c r="C404" s="111" t="str">
        <f>'натур показатели инновации+добр'!C367</f>
        <v>Краска ВДК 4 л</v>
      </c>
      <c r="D404" s="67" t="s">
        <v>82</v>
      </c>
      <c r="E404" s="169">
        <f>'патриотика0,369'!D515</f>
        <v>2.214</v>
      </c>
    </row>
    <row r="405" spans="1:5" x14ac:dyDescent="0.25">
      <c r="A405" s="653"/>
      <c r="B405" s="651"/>
      <c r="C405" s="111" t="str">
        <f>'натур показатели инновации+добр'!C368</f>
        <v>Коллер для краски ВДК</v>
      </c>
      <c r="D405" s="67" t="s">
        <v>82</v>
      </c>
      <c r="E405" s="169">
        <f>'патриотика0,369'!D516</f>
        <v>3.3209999999999997</v>
      </c>
    </row>
    <row r="406" spans="1:5" hidden="1" x14ac:dyDescent="0.25">
      <c r="A406" s="653"/>
      <c r="B406" s="651"/>
      <c r="C406" s="111">
        <f>'натур показатели инновации+добр'!C369</f>
        <v>0</v>
      </c>
      <c r="D406" s="67" t="s">
        <v>82</v>
      </c>
      <c r="E406" s="169">
        <f>'патриотика0,369'!D517</f>
        <v>0</v>
      </c>
    </row>
    <row r="407" spans="1:5" hidden="1" x14ac:dyDescent="0.25">
      <c r="A407" s="653"/>
      <c r="B407" s="651"/>
      <c r="C407" s="111">
        <f>'натур показатели инновации+добр'!C370</f>
        <v>0</v>
      </c>
      <c r="D407" s="67" t="s">
        <v>82</v>
      </c>
      <c r="E407" s="169">
        <f>'патриотика0,369'!D518</f>
        <v>0</v>
      </c>
    </row>
    <row r="408" spans="1:5" hidden="1" x14ac:dyDescent="0.25">
      <c r="A408" s="653"/>
      <c r="B408" s="651"/>
      <c r="C408" s="111">
        <f>'натур показатели инновации+добр'!C371</f>
        <v>0</v>
      </c>
      <c r="D408" s="67" t="s">
        <v>82</v>
      </c>
      <c r="E408" s="169">
        <f>'патриотика0,369'!D519</f>
        <v>0</v>
      </c>
    </row>
    <row r="409" spans="1:5" hidden="1" x14ac:dyDescent="0.25">
      <c r="A409" s="653"/>
      <c r="B409" s="651"/>
      <c r="C409" s="111">
        <f>'натур показатели инновации+добр'!C372</f>
        <v>0</v>
      </c>
      <c r="D409" s="67" t="s">
        <v>82</v>
      </c>
      <c r="E409" s="169">
        <f>'патриотика0,369'!D520</f>
        <v>0</v>
      </c>
    </row>
    <row r="410" spans="1:5" hidden="1" x14ac:dyDescent="0.25">
      <c r="A410" s="653"/>
      <c r="B410" s="651"/>
      <c r="C410" s="111">
        <f>'натур показатели инновации+добр'!C373</f>
        <v>0</v>
      </c>
      <c r="D410" s="67" t="s">
        <v>82</v>
      </c>
      <c r="E410" s="169">
        <f>'патриотика0,369'!D521</f>
        <v>0</v>
      </c>
    </row>
    <row r="411" spans="1:5" hidden="1" x14ac:dyDescent="0.25">
      <c r="A411" s="653"/>
      <c r="B411" s="651"/>
      <c r="C411" s="111">
        <f>'натур показатели инновации+добр'!C374</f>
        <v>0</v>
      </c>
      <c r="D411" s="67" t="s">
        <v>82</v>
      </c>
      <c r="E411" s="169">
        <f>'патриотика0,369'!D522</f>
        <v>0</v>
      </c>
    </row>
    <row r="412" spans="1:5" hidden="1" x14ac:dyDescent="0.25">
      <c r="A412" s="653"/>
      <c r="B412" s="651"/>
      <c r="C412" s="111">
        <f>'натур показатели инновации+добр'!C375</f>
        <v>0</v>
      </c>
      <c r="D412" s="67" t="s">
        <v>82</v>
      </c>
      <c r="E412" s="169">
        <f>'патриотика0,369'!D523</f>
        <v>0</v>
      </c>
    </row>
    <row r="413" spans="1:5" hidden="1" x14ac:dyDescent="0.25">
      <c r="A413" s="653"/>
      <c r="B413" s="651"/>
      <c r="C413" s="111">
        <f>'натур показатели инновации+добр'!C376</f>
        <v>0</v>
      </c>
      <c r="D413" s="67" t="s">
        <v>82</v>
      </c>
      <c r="E413" s="169">
        <f>'патриотика0,369'!D524</f>
        <v>0</v>
      </c>
    </row>
    <row r="414" spans="1:5" hidden="1" x14ac:dyDescent="0.25">
      <c r="A414" s="653"/>
      <c r="B414" s="651"/>
      <c r="C414" s="111">
        <f>'натур показатели инновации+добр'!C377</f>
        <v>0</v>
      </c>
      <c r="D414" s="67" t="s">
        <v>82</v>
      </c>
      <c r="E414" s="169">
        <f>'патриотика0,369'!D525</f>
        <v>0</v>
      </c>
    </row>
    <row r="415" spans="1:5" hidden="1" x14ac:dyDescent="0.25">
      <c r="A415" s="653"/>
      <c r="B415" s="651"/>
      <c r="C415" s="111">
        <f>'натур показатели инновации+добр'!C378</f>
        <v>0</v>
      </c>
      <c r="D415" s="67" t="s">
        <v>82</v>
      </c>
      <c r="E415" s="169">
        <f>'патриотика0,369'!D526</f>
        <v>0</v>
      </c>
    </row>
    <row r="416" spans="1:5" hidden="1" x14ac:dyDescent="0.25">
      <c r="A416" s="653"/>
      <c r="B416" s="651"/>
      <c r="C416" s="111">
        <f>'натур показатели инновации+добр'!C379</f>
        <v>0</v>
      </c>
      <c r="D416" s="67" t="s">
        <v>82</v>
      </c>
      <c r="E416" s="169">
        <f>'патриотика0,369'!D527</f>
        <v>0</v>
      </c>
    </row>
    <row r="417" spans="1:5" hidden="1" x14ac:dyDescent="0.25">
      <c r="A417" s="653"/>
      <c r="B417" s="651"/>
      <c r="C417" s="111">
        <f>'натур показатели инновации+добр'!C380</f>
        <v>0</v>
      </c>
      <c r="D417" s="67" t="s">
        <v>82</v>
      </c>
      <c r="E417" s="169">
        <f>'патриотика0,369'!D528</f>
        <v>0</v>
      </c>
    </row>
    <row r="418" spans="1:5" hidden="1" x14ac:dyDescent="0.25">
      <c r="A418" s="653"/>
      <c r="B418" s="651"/>
      <c r="C418" s="111">
        <f>'натур показатели инновации+добр'!C381</f>
        <v>0</v>
      </c>
      <c r="D418" s="67" t="s">
        <v>82</v>
      </c>
      <c r="E418" s="169">
        <f>'патриотика0,369'!D529</f>
        <v>0</v>
      </c>
    </row>
    <row r="419" spans="1:5" hidden="1" x14ac:dyDescent="0.25">
      <c r="A419" s="653"/>
      <c r="B419" s="651"/>
      <c r="C419" s="111">
        <f>'натур показатели инновации+добр'!C382</f>
        <v>0</v>
      </c>
      <c r="D419" s="67" t="s">
        <v>82</v>
      </c>
      <c r="E419" s="169">
        <f>'патриотика0,369'!D530</f>
        <v>0</v>
      </c>
    </row>
    <row r="420" spans="1:5" hidden="1" x14ac:dyDescent="0.25">
      <c r="B420" s="651"/>
      <c r="C420" s="111"/>
      <c r="D420" s="67"/>
      <c r="E420" s="169"/>
    </row>
  </sheetData>
  <mergeCells count="18">
    <mergeCell ref="C11:E11"/>
    <mergeCell ref="C15:E15"/>
    <mergeCell ref="D1:E1"/>
    <mergeCell ref="A3:E3"/>
    <mergeCell ref="A4:E4"/>
    <mergeCell ref="C7:E7"/>
    <mergeCell ref="C8:E8"/>
    <mergeCell ref="B7:B420"/>
    <mergeCell ref="A7:A419"/>
    <mergeCell ref="C115:E115"/>
    <mergeCell ref="C178:E178"/>
    <mergeCell ref="C180:E180"/>
    <mergeCell ref="C116:E116"/>
    <mergeCell ref="C123:E123"/>
    <mergeCell ref="C159:E159"/>
    <mergeCell ref="C167:E167"/>
    <mergeCell ref="C172:E172"/>
    <mergeCell ref="C174:E174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538"/>
  <sheetViews>
    <sheetView view="pageBreakPreview" topLeftCell="A479" zoomScale="78" zoomScaleNormal="70" zoomScaleSheetLayoutView="78" zoomScalePageLayoutView="80" workbookViewId="0">
      <selection sqref="A1:I537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698" t="s">
        <v>44</v>
      </c>
      <c r="B1" s="698"/>
      <c r="C1" s="698"/>
      <c r="D1" s="698"/>
      <c r="E1" s="698"/>
      <c r="F1" s="698"/>
      <c r="G1" s="698"/>
      <c r="H1" s="698"/>
    </row>
    <row r="2" spans="1:122" ht="18.75" x14ac:dyDescent="0.25">
      <c r="A2" s="328" t="str">
        <f>'таланты+инициативы0,262'!A2</f>
        <v>на 07.12.2021 год</v>
      </c>
      <c r="B2" s="328"/>
      <c r="C2" s="328"/>
      <c r="D2" s="328"/>
      <c r="E2" s="328"/>
      <c r="F2" s="328"/>
      <c r="G2" s="328"/>
      <c r="H2" s="328"/>
    </row>
    <row r="3" spans="1:122" ht="57.6" customHeight="1" x14ac:dyDescent="0.25">
      <c r="A3" s="8" t="s">
        <v>208</v>
      </c>
      <c r="B3" s="706" t="s">
        <v>47</v>
      </c>
      <c r="C3" s="706"/>
      <c r="D3" s="706"/>
      <c r="E3" s="706"/>
      <c r="F3" s="706"/>
      <c r="G3" s="706"/>
      <c r="I3" s="440"/>
      <c r="J3" s="440"/>
      <c r="K3" s="440"/>
      <c r="L3" s="440"/>
      <c r="M3" s="440"/>
      <c r="N3" s="440"/>
      <c r="O3" s="440"/>
      <c r="P3" s="440"/>
      <c r="Q3" s="440"/>
      <c r="R3" s="440"/>
      <c r="S3" s="440"/>
      <c r="T3" s="440"/>
      <c r="U3" s="440"/>
      <c r="V3" s="440"/>
      <c r="W3" s="440"/>
      <c r="X3" s="440"/>
      <c r="Y3" s="440"/>
      <c r="Z3" s="440"/>
      <c r="AA3" s="440"/>
      <c r="AB3" s="440"/>
      <c r="AC3" s="440"/>
      <c r="AD3" s="440"/>
      <c r="AE3" s="440"/>
      <c r="AF3" s="440"/>
      <c r="AG3" s="440"/>
      <c r="AH3" s="440"/>
      <c r="AI3" s="440"/>
      <c r="AJ3" s="440"/>
      <c r="AK3" s="440"/>
      <c r="AL3" s="440"/>
      <c r="AM3" s="440"/>
      <c r="AN3" s="440"/>
      <c r="AO3" s="440"/>
      <c r="AP3" s="440"/>
      <c r="AQ3" s="440"/>
      <c r="AR3" s="440"/>
      <c r="AS3" s="440"/>
      <c r="AT3" s="440"/>
      <c r="AU3" s="440"/>
      <c r="AV3" s="440"/>
      <c r="AW3" s="440"/>
      <c r="AX3" s="440"/>
      <c r="AY3" s="440"/>
      <c r="AZ3" s="440"/>
      <c r="BA3" s="440"/>
      <c r="BB3" s="440"/>
      <c r="BC3" s="440"/>
      <c r="BD3" s="440"/>
      <c r="BE3" s="440"/>
      <c r="BF3" s="440"/>
      <c r="BG3" s="440"/>
      <c r="BH3" s="440"/>
      <c r="BI3" s="440"/>
      <c r="BJ3" s="440"/>
      <c r="BK3" s="440"/>
      <c r="BL3" s="440"/>
      <c r="BM3" s="440"/>
      <c r="BN3" s="440"/>
      <c r="BO3" s="440"/>
      <c r="BP3" s="440"/>
      <c r="BQ3" s="440"/>
      <c r="BR3" s="440"/>
      <c r="BS3" s="440"/>
      <c r="BT3" s="440"/>
      <c r="BU3" s="440"/>
      <c r="BV3" s="440"/>
      <c r="BW3" s="440"/>
      <c r="BX3" s="440"/>
      <c r="BY3" s="440"/>
      <c r="BZ3" s="440"/>
      <c r="CA3" s="440"/>
      <c r="CB3" s="440"/>
      <c r="CC3" s="440"/>
      <c r="CD3" s="440"/>
      <c r="CE3" s="440"/>
      <c r="CF3" s="440"/>
      <c r="CG3" s="440"/>
      <c r="CH3" s="440"/>
      <c r="CI3" s="440"/>
      <c r="CJ3" s="440"/>
      <c r="CK3" s="440"/>
      <c r="CL3" s="440"/>
      <c r="CM3" s="440"/>
      <c r="CN3" s="440"/>
      <c r="CO3" s="440"/>
      <c r="CP3" s="440"/>
      <c r="CQ3" s="440"/>
      <c r="CR3" s="440"/>
      <c r="CS3" s="440"/>
      <c r="CT3" s="440"/>
      <c r="CU3" s="440"/>
      <c r="CV3" s="440"/>
      <c r="CW3" s="440"/>
      <c r="CX3" s="440"/>
      <c r="CY3" s="440"/>
      <c r="CZ3" s="440"/>
      <c r="DA3" s="440"/>
      <c r="DB3" s="440"/>
      <c r="DC3" s="440"/>
      <c r="DD3" s="440"/>
      <c r="DE3" s="440"/>
      <c r="DF3" s="440"/>
      <c r="DG3" s="440"/>
      <c r="DH3" s="440"/>
      <c r="DI3" s="440"/>
      <c r="DJ3" s="440"/>
      <c r="DK3" s="440"/>
      <c r="DL3" s="440"/>
      <c r="DM3" s="440"/>
      <c r="DN3" s="440"/>
      <c r="DO3" s="440"/>
      <c r="DP3" s="440"/>
      <c r="DQ3" s="440"/>
      <c r="DR3" s="440"/>
    </row>
    <row r="4" spans="1:122" x14ac:dyDescent="0.25">
      <c r="A4" s="691" t="s">
        <v>184</v>
      </c>
      <c r="B4" s="691"/>
      <c r="C4" s="691"/>
      <c r="D4" s="691"/>
      <c r="E4" s="691"/>
    </row>
    <row r="5" spans="1:122" x14ac:dyDescent="0.25">
      <c r="A5" s="692" t="s">
        <v>41</v>
      </c>
      <c r="B5" s="692"/>
      <c r="C5" s="692"/>
      <c r="D5" s="692"/>
      <c r="E5" s="692"/>
    </row>
    <row r="6" spans="1:122" x14ac:dyDescent="0.25">
      <c r="A6" s="692" t="s">
        <v>197</v>
      </c>
      <c r="B6" s="692"/>
      <c r="C6" s="692"/>
      <c r="D6" s="692"/>
      <c r="E6" s="692"/>
    </row>
    <row r="7" spans="1:122" x14ac:dyDescent="0.25">
      <c r="A7" s="586" t="s">
        <v>211</v>
      </c>
      <c r="B7" s="586"/>
      <c r="C7" s="586"/>
      <c r="D7" s="586"/>
      <c r="E7" s="586"/>
    </row>
    <row r="8" spans="1:122" ht="31.15" customHeight="1" x14ac:dyDescent="0.25">
      <c r="A8" s="102" t="s">
        <v>34</v>
      </c>
      <c r="B8" s="68" t="s">
        <v>9</v>
      </c>
      <c r="C8" s="69"/>
      <c r="D8" s="587" t="s">
        <v>10</v>
      </c>
      <c r="E8" s="588"/>
      <c r="F8" s="283" t="s">
        <v>9</v>
      </c>
    </row>
    <row r="9" spans="1:122" x14ac:dyDescent="0.25">
      <c r="A9" s="102"/>
      <c r="B9" s="331"/>
      <c r="C9" s="331"/>
      <c r="D9" s="589" t="str">
        <f>'инновации+добровольчество0,369'!D10:E10</f>
        <v>Заведующий МЦ</v>
      </c>
      <c r="E9" s="590"/>
      <c r="F9" s="70">
        <v>1</v>
      </c>
    </row>
    <row r="10" spans="1:122" x14ac:dyDescent="0.25">
      <c r="A10" s="68" t="s">
        <v>138</v>
      </c>
      <c r="B10" s="331">
        <v>5.6</v>
      </c>
      <c r="C10" s="331"/>
      <c r="D10" s="591" t="str">
        <f>'[1]2016'!$AE$25</f>
        <v>Водитель</v>
      </c>
      <c r="E10" s="592"/>
      <c r="F10" s="331">
        <v>1</v>
      </c>
    </row>
    <row r="11" spans="1:122" x14ac:dyDescent="0.25">
      <c r="A11" s="68" t="s">
        <v>91</v>
      </c>
      <c r="B11" s="331">
        <v>1</v>
      </c>
      <c r="C11" s="331"/>
      <c r="D11" s="591" t="s">
        <v>85</v>
      </c>
      <c r="E11" s="592"/>
      <c r="F11" s="331">
        <v>0.5</v>
      </c>
    </row>
    <row r="12" spans="1:122" x14ac:dyDescent="0.25">
      <c r="A12" s="102"/>
      <c r="B12" s="331"/>
      <c r="C12" s="331"/>
      <c r="D12" s="591" t="str">
        <f>'[1]2016'!$AE$26</f>
        <v xml:space="preserve">Уборщик служебных помещений </v>
      </c>
      <c r="E12" s="592"/>
      <c r="F12" s="331">
        <v>1</v>
      </c>
    </row>
    <row r="13" spans="1:122" x14ac:dyDescent="0.25">
      <c r="A13" s="71" t="s">
        <v>55</v>
      </c>
      <c r="B13" s="72">
        <f>SUM(B9:B10)+B11</f>
        <v>6.6</v>
      </c>
      <c r="C13" s="71"/>
      <c r="D13" s="593" t="s">
        <v>55</v>
      </c>
      <c r="E13" s="594"/>
      <c r="F13" s="72">
        <f>SUM(F9:F12)</f>
        <v>3.5</v>
      </c>
    </row>
    <row r="14" spans="1:122" x14ac:dyDescent="0.25">
      <c r="A14" s="9" t="str">
        <f>'таланты+инициативы0,262'!A14:I14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00" t="s">
        <v>292</v>
      </c>
      <c r="B15" s="700"/>
      <c r="C15" s="700"/>
      <c r="D15" s="700"/>
      <c r="E15" s="700"/>
      <c r="F15" s="700"/>
    </row>
    <row r="16" spans="1:122" x14ac:dyDescent="0.25">
      <c r="A16" s="10" t="s">
        <v>262</v>
      </c>
      <c r="B16" s="10"/>
      <c r="C16" s="10"/>
      <c r="D16" s="10"/>
    </row>
    <row r="17" spans="1:11" x14ac:dyDescent="0.25">
      <c r="A17" s="701" t="s">
        <v>43</v>
      </c>
      <c r="B17" s="701"/>
      <c r="C17" s="701"/>
      <c r="D17" s="701"/>
      <c r="E17" s="701"/>
      <c r="F17" s="701"/>
    </row>
    <row r="18" spans="1:11" x14ac:dyDescent="0.25">
      <c r="A18" s="699"/>
      <c r="B18" s="699"/>
      <c r="C18" s="329"/>
      <c r="D18" s="156">
        <v>0.36899999999999999</v>
      </c>
      <c r="E18" s="157"/>
    </row>
    <row r="19" spans="1:11" ht="22.9" customHeight="1" x14ac:dyDescent="0.25">
      <c r="A19" s="670" t="s">
        <v>0</v>
      </c>
      <c r="B19" s="670" t="s">
        <v>1</v>
      </c>
      <c r="C19" s="321"/>
      <c r="D19" s="670" t="s">
        <v>2</v>
      </c>
      <c r="E19" s="671" t="s">
        <v>3</v>
      </c>
      <c r="F19" s="672"/>
      <c r="G19" s="670" t="s">
        <v>35</v>
      </c>
      <c r="H19" s="321" t="s">
        <v>5</v>
      </c>
      <c r="I19" s="670" t="s">
        <v>6</v>
      </c>
    </row>
    <row r="20" spans="1:11" ht="31.5" x14ac:dyDescent="0.25">
      <c r="A20" s="670"/>
      <c r="B20" s="670"/>
      <c r="C20" s="321"/>
      <c r="D20" s="670"/>
      <c r="E20" s="321" t="s">
        <v>264</v>
      </c>
      <c r="F20" s="321" t="s">
        <v>263</v>
      </c>
      <c r="G20" s="670"/>
      <c r="H20" s="302" t="s">
        <v>169</v>
      </c>
      <c r="I20" s="670"/>
    </row>
    <row r="21" spans="1:11" x14ac:dyDescent="0.25">
      <c r="A21" s="670"/>
      <c r="B21" s="670"/>
      <c r="C21" s="321"/>
      <c r="D21" s="670"/>
      <c r="E21" s="321" t="s">
        <v>4</v>
      </c>
      <c r="F21" s="158"/>
      <c r="G21" s="670"/>
      <c r="H21" s="321" t="s">
        <v>266</v>
      </c>
      <c r="I21" s="670"/>
    </row>
    <row r="22" spans="1:11" x14ac:dyDescent="0.25">
      <c r="A22" s="670">
        <v>1</v>
      </c>
      <c r="B22" s="670">
        <v>2</v>
      </c>
      <c r="C22" s="321"/>
      <c r="D22" s="670">
        <v>3</v>
      </c>
      <c r="E22" s="670" t="s">
        <v>265</v>
      </c>
      <c r="F22" s="694">
        <v>5</v>
      </c>
      <c r="G22" s="563" t="s">
        <v>7</v>
      </c>
      <c r="H22" s="302" t="s">
        <v>170</v>
      </c>
      <c r="I22" s="563" t="s">
        <v>171</v>
      </c>
    </row>
    <row r="23" spans="1:11" x14ac:dyDescent="0.25">
      <c r="A23" s="670"/>
      <c r="B23" s="670"/>
      <c r="C23" s="321"/>
      <c r="D23" s="670"/>
      <c r="E23" s="670"/>
      <c r="F23" s="695"/>
      <c r="G23" s="563"/>
      <c r="H23" s="54">
        <v>1774.4</v>
      </c>
      <c r="I23" s="563"/>
    </row>
    <row r="24" spans="1:11" x14ac:dyDescent="0.25">
      <c r="A24" s="73" t="s">
        <v>91</v>
      </c>
      <c r="B24" s="88">
        <f>'таланты+инициативы0,262'!B24</f>
        <v>63788.2</v>
      </c>
      <c r="C24" s="86"/>
      <c r="D24" s="321">
        <f>1*D18</f>
        <v>0.36899999999999999</v>
      </c>
      <c r="E24" s="74">
        <f>D24*1774.4</f>
        <v>654.75360000000001</v>
      </c>
      <c r="F24" s="75">
        <v>1</v>
      </c>
      <c r="G24" s="74">
        <f>E24/F24</f>
        <v>654.75360000000001</v>
      </c>
      <c r="H24" s="74">
        <f>B24*1.302/1774.4*12</f>
        <v>561.66976825969334</v>
      </c>
      <c r="I24" s="74">
        <f>G24*H24</f>
        <v>367755.30277919996</v>
      </c>
    </row>
    <row r="25" spans="1:11" x14ac:dyDescent="0.25">
      <c r="A25" s="76" t="str">
        <f>A10</f>
        <v>Специалист по работе с молодежью</v>
      </c>
      <c r="B25" s="88">
        <f>'таланты+инициативы0,262'!B25</f>
        <v>45482.5</v>
      </c>
      <c r="C25" s="180"/>
      <c r="D25" s="321">
        <f>D18*5.6</f>
        <v>2.0663999999999998</v>
      </c>
      <c r="E25" s="74">
        <f>D25*1774.4</f>
        <v>3666.6201599999999</v>
      </c>
      <c r="F25" s="75">
        <v>1</v>
      </c>
      <c r="G25" s="74">
        <f>E25/F25</f>
        <v>3666.6201599999999</v>
      </c>
      <c r="H25" s="74">
        <f>B25*1.302/1774.4*12</f>
        <v>400.48387060414791</v>
      </c>
      <c r="I25" s="74">
        <f>G25*H25+47613.41</f>
        <v>1516035.643712</v>
      </c>
    </row>
    <row r="26" spans="1:11" ht="18.75" x14ac:dyDescent="0.3">
      <c r="A26" s="671" t="s">
        <v>8</v>
      </c>
      <c r="B26" s="705"/>
      <c r="C26" s="705"/>
      <c r="D26" s="705"/>
      <c r="E26" s="705"/>
      <c r="F26" s="705"/>
      <c r="G26" s="705"/>
      <c r="H26" s="672"/>
      <c r="I26" s="406">
        <f>SUM(I24:I25)-0.86</f>
        <v>1883790.0864911999</v>
      </c>
      <c r="J26" s="168">
        <f>I26+I170</f>
        <v>2785915.0914830398</v>
      </c>
      <c r="K26" s="182" t="s">
        <v>102</v>
      </c>
    </row>
    <row r="27" spans="1:11" hidden="1" x14ac:dyDescent="0.25">
      <c r="A27" s="617" t="s">
        <v>164</v>
      </c>
      <c r="B27" s="617"/>
      <c r="C27" s="617"/>
      <c r="D27" s="617"/>
      <c r="E27" s="617"/>
      <c r="F27" s="617"/>
      <c r="G27" s="617"/>
      <c r="H27" s="617"/>
      <c r="I27" s="181"/>
      <c r="J27" s="182"/>
    </row>
    <row r="28" spans="1:11" hidden="1" x14ac:dyDescent="0.25">
      <c r="A28" s="566" t="s">
        <v>58</v>
      </c>
      <c r="B28" s="596" t="s">
        <v>153</v>
      </c>
      <c r="C28" s="596"/>
      <c r="D28" s="596" t="s">
        <v>154</v>
      </c>
      <c r="E28" s="596"/>
      <c r="F28" s="596"/>
      <c r="G28" s="597"/>
      <c r="H28" s="597"/>
      <c r="I28" s="181"/>
      <c r="J28" s="182"/>
    </row>
    <row r="29" spans="1:11" ht="16.5" hidden="1" customHeight="1" x14ac:dyDescent="0.25">
      <c r="A29" s="567"/>
      <c r="B29" s="596"/>
      <c r="C29" s="596"/>
      <c r="D29" s="596" t="s">
        <v>155</v>
      </c>
      <c r="E29" s="566" t="s">
        <v>156</v>
      </c>
      <c r="F29" s="682" t="s">
        <v>157</v>
      </c>
      <c r="G29" s="566" t="s">
        <v>163</v>
      </c>
      <c r="H29" s="566" t="s">
        <v>6</v>
      </c>
      <c r="I29" s="181"/>
      <c r="J29" s="182"/>
    </row>
    <row r="30" spans="1:11" hidden="1" x14ac:dyDescent="0.25">
      <c r="A30" s="568"/>
      <c r="B30" s="596"/>
      <c r="C30" s="596"/>
      <c r="D30" s="596"/>
      <c r="E30" s="568"/>
      <c r="F30" s="579"/>
      <c r="G30" s="568"/>
      <c r="H30" s="568"/>
      <c r="I30" s="181"/>
      <c r="J30" s="182"/>
    </row>
    <row r="31" spans="1:11" hidden="1" x14ac:dyDescent="0.25">
      <c r="A31" s="292">
        <v>1</v>
      </c>
      <c r="B31" s="580">
        <v>2</v>
      </c>
      <c r="C31" s="581"/>
      <c r="D31" s="292">
        <v>3</v>
      </c>
      <c r="E31" s="292">
        <v>4</v>
      </c>
      <c r="F31" s="292">
        <v>5</v>
      </c>
      <c r="G31" s="292">
        <v>6</v>
      </c>
      <c r="H31" s="292">
        <v>7</v>
      </c>
      <c r="I31" s="181"/>
      <c r="J31" s="182"/>
    </row>
    <row r="32" spans="1:11" hidden="1" x14ac:dyDescent="0.25">
      <c r="A32" s="290" t="s">
        <v>91</v>
      </c>
      <c r="B32" s="290">
        <v>0.39300000000000002</v>
      </c>
      <c r="C32" s="291">
        <v>1</v>
      </c>
      <c r="D32" s="151">
        <v>2074.6</v>
      </c>
      <c r="E32" s="112">
        <f t="shared" ref="E32:E33" si="0">D32*12</f>
        <v>24895.199999999997</v>
      </c>
      <c r="F32" s="151">
        <f>18363.9*0.393</f>
        <v>7217.0127000000011</v>
      </c>
      <c r="G32" s="184">
        <f>F32*30.2%</f>
        <v>2179.5378354000004</v>
      </c>
      <c r="H32" s="184">
        <f>F32+G32</f>
        <v>9396.5505354000015</v>
      </c>
      <c r="I32" s="181"/>
      <c r="J32" s="182"/>
    </row>
    <row r="33" spans="1:11" ht="15.6" hidden="1" customHeight="1" x14ac:dyDescent="0.25">
      <c r="A33" s="290" t="s">
        <v>159</v>
      </c>
      <c r="B33" s="580">
        <f>5.6*0.393</f>
        <v>2.2008000000000001</v>
      </c>
      <c r="C33" s="581"/>
      <c r="D33" s="151">
        <f>1302.85*B33</f>
        <v>2867.3122800000001</v>
      </c>
      <c r="E33" s="112">
        <f t="shared" si="0"/>
        <v>34407.747360000001</v>
      </c>
      <c r="F33" s="151">
        <f>64311.87*0.393</f>
        <v>25274.564910000001</v>
      </c>
      <c r="G33" s="184">
        <f>F33*30.2%</f>
        <v>7632.9186028200002</v>
      </c>
      <c r="H33" s="184">
        <f>F33+G33</f>
        <v>32907.483512819999</v>
      </c>
    </row>
    <row r="34" spans="1:11" ht="18.75" hidden="1" x14ac:dyDescent="0.25">
      <c r="A34" s="288"/>
      <c r="B34" s="595">
        <f>SUM(B32:C33)</f>
        <v>3.5937999999999999</v>
      </c>
      <c r="C34" s="595"/>
      <c r="D34" s="128">
        <f>SUM(D32:D33)</f>
        <v>4941.9122800000005</v>
      </c>
      <c r="E34" s="128">
        <f>SUM(E32:E33)</f>
        <v>59302.947359999998</v>
      </c>
      <c r="F34" s="128">
        <f>SUM(F32:F33)</f>
        <v>32491.57761</v>
      </c>
      <c r="G34" s="128">
        <f>SUM(G32:G33)</f>
        <v>9812.4564382200006</v>
      </c>
      <c r="H34" s="224"/>
    </row>
    <row r="35" spans="1:11" s="45" customFormat="1" ht="14.45" hidden="1" customHeight="1" x14ac:dyDescent="0.25">
      <c r="A35" s="617" t="s">
        <v>168</v>
      </c>
      <c r="B35" s="617"/>
      <c r="C35" s="617"/>
      <c r="D35" s="617"/>
      <c r="E35" s="617"/>
      <c r="F35" s="617"/>
      <c r="G35" s="617"/>
      <c r="H35" s="617"/>
      <c r="I35" s="152"/>
    </row>
    <row r="36" spans="1:11" s="45" customFormat="1" ht="28.9" hidden="1" customHeight="1" x14ac:dyDescent="0.25">
      <c r="A36" s="566" t="s">
        <v>58</v>
      </c>
      <c r="B36" s="596" t="s">
        <v>153</v>
      </c>
      <c r="C36" s="596"/>
      <c r="D36" s="575" t="s">
        <v>154</v>
      </c>
      <c r="E36" s="577"/>
      <c r="F36" s="293"/>
    </row>
    <row r="37" spans="1:11" s="45" customFormat="1" ht="14.45" hidden="1" customHeight="1" x14ac:dyDescent="0.25">
      <c r="A37" s="567"/>
      <c r="B37" s="596"/>
      <c r="C37" s="596"/>
      <c r="D37" s="596" t="s">
        <v>155</v>
      </c>
      <c r="E37" s="566" t="s">
        <v>163</v>
      </c>
      <c r="F37" s="566" t="s">
        <v>167</v>
      </c>
    </row>
    <row r="38" spans="1:11" s="45" customFormat="1" ht="15" hidden="1" x14ac:dyDescent="0.25">
      <c r="A38" s="568"/>
      <c r="B38" s="596"/>
      <c r="C38" s="596"/>
      <c r="D38" s="596"/>
      <c r="E38" s="568"/>
      <c r="F38" s="568"/>
    </row>
    <row r="39" spans="1:11" s="45" customFormat="1" ht="15" hidden="1" x14ac:dyDescent="0.25">
      <c r="A39" s="292">
        <v>1</v>
      </c>
      <c r="B39" s="580">
        <v>2</v>
      </c>
      <c r="C39" s="581"/>
      <c r="D39" s="292">
        <v>3</v>
      </c>
      <c r="E39" s="292">
        <v>6</v>
      </c>
      <c r="F39" s="292">
        <v>7</v>
      </c>
    </row>
    <row r="40" spans="1:11" s="45" customFormat="1" ht="15" hidden="1" x14ac:dyDescent="0.25">
      <c r="A40" s="290" t="s">
        <v>159</v>
      </c>
      <c r="B40" s="580">
        <f>B33</f>
        <v>2.2008000000000001</v>
      </c>
      <c r="C40" s="581"/>
      <c r="D40" s="151">
        <v>4218.1400000000003</v>
      </c>
      <c r="E40" s="184">
        <f>D40*30.2%</f>
        <v>1273.8782800000001</v>
      </c>
      <c r="F40" s="184">
        <f>(E40+D40)*B40*12+27.46</f>
        <v>145069.46596748798</v>
      </c>
    </row>
    <row r="41" spans="1:11" s="45" customFormat="1" ht="18.75" hidden="1" x14ac:dyDescent="0.25">
      <c r="A41" s="288"/>
      <c r="B41" s="595">
        <f>SUM(B40:C40)</f>
        <v>2.2008000000000001</v>
      </c>
      <c r="C41" s="595"/>
      <c r="D41" s="128">
        <f>SUM(D40:D40)</f>
        <v>4218.1400000000003</v>
      </c>
      <c r="E41" s="128">
        <f>SUM(E40:E40)</f>
        <v>1273.8782800000001</v>
      </c>
      <c r="F41" s="224"/>
    </row>
    <row r="42" spans="1:11" s="45" customFormat="1" ht="18.75" x14ac:dyDescent="0.25">
      <c r="A42" s="152"/>
      <c r="B42" s="152"/>
      <c r="C42" s="152"/>
      <c r="D42" s="212"/>
      <c r="E42" s="212"/>
      <c r="F42" s="214"/>
      <c r="J42" s="7">
        <v>2785915.95</v>
      </c>
      <c r="K42" s="181" t="s">
        <v>103</v>
      </c>
    </row>
    <row r="43" spans="1:11" x14ac:dyDescent="0.25">
      <c r="D43" s="159">
        <f>D18</f>
        <v>0.36899999999999999</v>
      </c>
      <c r="J43" s="168">
        <f>J42-J26</f>
        <v>0.85851696040481329</v>
      </c>
      <c r="K43" s="181" t="s">
        <v>115</v>
      </c>
    </row>
    <row r="44" spans="1:11" ht="24.6" hidden="1" customHeight="1" x14ac:dyDescent="0.25">
      <c r="A44" s="670" t="s">
        <v>118</v>
      </c>
      <c r="B44" s="670"/>
      <c r="C44" s="321"/>
      <c r="D44" s="321" t="s">
        <v>11</v>
      </c>
      <c r="E44" s="321" t="s">
        <v>46</v>
      </c>
      <c r="F44" s="321" t="s">
        <v>15</v>
      </c>
      <c r="G44" s="326" t="s">
        <v>6</v>
      </c>
    </row>
    <row r="45" spans="1:11" hidden="1" x14ac:dyDescent="0.25">
      <c r="A45" s="671">
        <v>1</v>
      </c>
      <c r="B45" s="672"/>
      <c r="C45" s="322"/>
      <c r="D45" s="321">
        <v>2</v>
      </c>
      <c r="E45" s="75">
        <v>3</v>
      </c>
      <c r="F45" s="321">
        <v>4</v>
      </c>
      <c r="G45" s="78" t="s">
        <v>66</v>
      </c>
    </row>
    <row r="46" spans="1:11" hidden="1" x14ac:dyDescent="0.25">
      <c r="A46" s="673" t="str">
        <f>'инновации+добровольчество0,369'!A53</f>
        <v>Суточные</v>
      </c>
      <c r="B46" s="674"/>
      <c r="C46" s="324"/>
      <c r="D46" s="321" t="str">
        <f>'инновации+добровольчество0,369'!D53</f>
        <v>сутки</v>
      </c>
      <c r="E46" s="228">
        <f>D43</f>
        <v>0.36899999999999999</v>
      </c>
      <c r="F46" s="335">
        <f>'инновации+добровольчество0,369'!F53</f>
        <v>450</v>
      </c>
      <c r="G46" s="82">
        <f>E46*F46</f>
        <v>166.05</v>
      </c>
    </row>
    <row r="47" spans="1:11" hidden="1" x14ac:dyDescent="0.25">
      <c r="A47" s="673" t="str">
        <f>'инновации+добровольчество0,369'!A54</f>
        <v>Проезд</v>
      </c>
      <c r="B47" s="674"/>
      <c r="C47" s="324"/>
      <c r="D47" s="321" t="str">
        <f>'инновации+добровольчество0,369'!D54</f>
        <v xml:space="preserve">Ед. </v>
      </c>
      <c r="E47" s="228">
        <f>E46</f>
        <v>0.36899999999999999</v>
      </c>
      <c r="F47" s="335">
        <f>'инновации+добровольчество0,369'!F54</f>
        <v>6000</v>
      </c>
      <c r="G47" s="82">
        <f>E47*F47</f>
        <v>2214</v>
      </c>
    </row>
    <row r="48" spans="1:11" hidden="1" x14ac:dyDescent="0.25">
      <c r="A48" s="673" t="str">
        <f>'инновации+добровольчество0,369'!A55</f>
        <v xml:space="preserve">Проживание </v>
      </c>
      <c r="B48" s="674"/>
      <c r="C48" s="324"/>
      <c r="D48" s="321" t="str">
        <f>'инновации+добровольчество0,369'!D55</f>
        <v>сутки</v>
      </c>
      <c r="E48" s="228">
        <f>E46</f>
        <v>0.36899999999999999</v>
      </c>
      <c r="F48" s="335">
        <f>'инновации+добровольчество0,369'!F55</f>
        <v>1610.52</v>
      </c>
      <c r="G48" s="82">
        <f>E48*F48</f>
        <v>594.28188</v>
      </c>
    </row>
    <row r="49" spans="1:9" hidden="1" x14ac:dyDescent="0.25">
      <c r="A49" s="323" t="e">
        <f>'инновации+добровольчество0,369'!#REF!</f>
        <v>#REF!</v>
      </c>
      <c r="B49" s="227"/>
      <c r="C49" s="227"/>
      <c r="D49" s="321" t="e">
        <f>'инновации+добровольчество0,369'!#REF!</f>
        <v>#REF!</v>
      </c>
      <c r="E49" s="228">
        <f>E46</f>
        <v>0.36899999999999999</v>
      </c>
      <c r="F49" s="335" t="e">
        <f>'инновации+добровольчество0,369'!#REF!</f>
        <v>#REF!</v>
      </c>
      <c r="G49" s="82">
        <v>0</v>
      </c>
    </row>
    <row r="50" spans="1:9" ht="18.75" hidden="1" x14ac:dyDescent="0.25">
      <c r="A50" s="675" t="s">
        <v>56</v>
      </c>
      <c r="B50" s="676"/>
      <c r="C50" s="676"/>
      <c r="D50" s="676"/>
      <c r="E50" s="676"/>
      <c r="F50" s="677"/>
      <c r="G50" s="262">
        <v>0</v>
      </c>
    </row>
    <row r="51" spans="1:9" x14ac:dyDescent="0.25">
      <c r="A51" s="697" t="s">
        <v>116</v>
      </c>
      <c r="B51" s="697"/>
      <c r="C51" s="697"/>
      <c r="D51" s="697"/>
      <c r="E51" s="697"/>
      <c r="F51" s="697"/>
    </row>
    <row r="52" spans="1:9" ht="15.6" customHeight="1" x14ac:dyDescent="0.25">
      <c r="D52" s="159"/>
      <c r="F52" s="160">
        <v>1</v>
      </c>
    </row>
    <row r="53" spans="1:9" ht="12" customHeight="1" x14ac:dyDescent="0.25">
      <c r="A53" s="739" t="s">
        <v>119</v>
      </c>
      <c r="B53" s="669" t="s">
        <v>11</v>
      </c>
      <c r="C53" s="694" t="s">
        <v>11</v>
      </c>
      <c r="D53" s="694" t="s">
        <v>46</v>
      </c>
      <c r="E53" s="694" t="s">
        <v>15</v>
      </c>
      <c r="F53" s="685" t="s">
        <v>6</v>
      </c>
      <c r="I53" s="185"/>
    </row>
    <row r="54" spans="1:9" ht="9" hidden="1" customHeight="1" x14ac:dyDescent="0.25">
      <c r="A54" s="740"/>
      <c r="B54" s="669"/>
      <c r="C54" s="695"/>
      <c r="D54" s="695"/>
      <c r="E54" s="695"/>
      <c r="F54" s="686"/>
      <c r="I54" s="160"/>
    </row>
    <row r="55" spans="1:9" x14ac:dyDescent="0.25">
      <c r="A55" s="500">
        <v>1</v>
      </c>
      <c r="B55" s="501">
        <v>2</v>
      </c>
      <c r="C55" s="294">
        <v>2</v>
      </c>
      <c r="D55" s="294">
        <v>3</v>
      </c>
      <c r="E55" s="294">
        <v>4</v>
      </c>
      <c r="F55" s="276" t="s">
        <v>66</v>
      </c>
    </row>
    <row r="56" spans="1:9" ht="25.5" x14ac:dyDescent="0.25">
      <c r="A56" s="736" t="s">
        <v>223</v>
      </c>
      <c r="B56" s="496" t="s">
        <v>120</v>
      </c>
      <c r="C56" s="498"/>
      <c r="D56" s="91"/>
      <c r="E56" s="92"/>
      <c r="F56" s="276"/>
    </row>
    <row r="57" spans="1:9" x14ac:dyDescent="0.25">
      <c r="A57" s="432" t="s">
        <v>220</v>
      </c>
      <c r="B57" s="496" t="s">
        <v>120</v>
      </c>
      <c r="C57" s="498"/>
      <c r="D57" s="91">
        <v>4</v>
      </c>
      <c r="E57" s="92">
        <v>3500</v>
      </c>
      <c r="F57" s="276">
        <f>D57*E57</f>
        <v>14000</v>
      </c>
    </row>
    <row r="58" spans="1:9" x14ac:dyDescent="0.25">
      <c r="A58" s="432" t="s">
        <v>224</v>
      </c>
      <c r="B58" s="496" t="s">
        <v>120</v>
      </c>
      <c r="C58" s="498"/>
      <c r="D58" s="433">
        <v>6</v>
      </c>
      <c r="E58" s="434">
        <v>1000</v>
      </c>
      <c r="F58" s="276">
        <f t="shared" ref="F58:F121" si="1">D58*E58</f>
        <v>6000</v>
      </c>
    </row>
    <row r="59" spans="1:9" x14ac:dyDescent="0.25">
      <c r="A59" s="432" t="s">
        <v>225</v>
      </c>
      <c r="B59" s="496" t="s">
        <v>120</v>
      </c>
      <c r="C59" s="498"/>
      <c r="D59" s="91">
        <v>8</v>
      </c>
      <c r="E59" s="92">
        <v>300</v>
      </c>
      <c r="F59" s="276">
        <f t="shared" si="1"/>
        <v>2400</v>
      </c>
    </row>
    <row r="60" spans="1:9" ht="25.5" x14ac:dyDescent="0.25">
      <c r="A60" s="736" t="s">
        <v>293</v>
      </c>
      <c r="B60" s="496" t="s">
        <v>120</v>
      </c>
      <c r="C60" s="498"/>
      <c r="D60" s="91"/>
      <c r="E60" s="92"/>
      <c r="F60" s="276">
        <f t="shared" si="1"/>
        <v>0</v>
      </c>
    </row>
    <row r="61" spans="1:9" x14ac:dyDescent="0.25">
      <c r="A61" s="432" t="s">
        <v>294</v>
      </c>
      <c r="B61" s="496" t="s">
        <v>120</v>
      </c>
      <c r="C61" s="498"/>
      <c r="D61" s="91">
        <v>0</v>
      </c>
      <c r="E61" s="92">
        <v>2500</v>
      </c>
      <c r="F61" s="276">
        <f t="shared" si="1"/>
        <v>0</v>
      </c>
    </row>
    <row r="62" spans="1:9" x14ac:dyDescent="0.25">
      <c r="A62" s="432" t="s">
        <v>295</v>
      </c>
      <c r="B62" s="496" t="s">
        <v>120</v>
      </c>
      <c r="C62" s="498"/>
      <c r="D62" s="433">
        <v>79</v>
      </c>
      <c r="E62" s="434">
        <v>350</v>
      </c>
      <c r="F62" s="385">
        <v>27662.27</v>
      </c>
    </row>
    <row r="63" spans="1:9" x14ac:dyDescent="0.25">
      <c r="A63" s="432" t="s">
        <v>296</v>
      </c>
      <c r="B63" s="496" t="s">
        <v>120</v>
      </c>
      <c r="C63" s="498"/>
      <c r="D63" s="91"/>
      <c r="E63" s="92"/>
      <c r="F63" s="276">
        <f t="shared" si="1"/>
        <v>0</v>
      </c>
    </row>
    <row r="64" spans="1:9" x14ac:dyDescent="0.25">
      <c r="A64" s="432" t="s">
        <v>226</v>
      </c>
      <c r="B64" s="496" t="s">
        <v>120</v>
      </c>
      <c r="C64" s="498"/>
      <c r="D64" s="91">
        <v>8</v>
      </c>
      <c r="E64" s="92">
        <v>2500</v>
      </c>
      <c r="F64" s="276">
        <f t="shared" si="1"/>
        <v>20000</v>
      </c>
    </row>
    <row r="65" spans="1:6" x14ac:dyDescent="0.25">
      <c r="A65" s="432" t="s">
        <v>227</v>
      </c>
      <c r="B65" s="496" t="s">
        <v>120</v>
      </c>
      <c r="C65" s="498"/>
      <c r="D65" s="91">
        <v>80</v>
      </c>
      <c r="E65" s="92">
        <v>350</v>
      </c>
      <c r="F65" s="276">
        <f t="shared" si="1"/>
        <v>28000</v>
      </c>
    </row>
    <row r="66" spans="1:6" x14ac:dyDescent="0.25">
      <c r="A66" s="736" t="s">
        <v>228</v>
      </c>
      <c r="B66" s="496" t="s">
        <v>120</v>
      </c>
      <c r="C66" s="498"/>
      <c r="D66" s="91"/>
      <c r="E66" s="92"/>
      <c r="F66" s="276">
        <f t="shared" si="1"/>
        <v>0</v>
      </c>
    </row>
    <row r="67" spans="1:6" x14ac:dyDescent="0.25">
      <c r="A67" s="432" t="s">
        <v>220</v>
      </c>
      <c r="B67" s="496" t="s">
        <v>120</v>
      </c>
      <c r="C67" s="498"/>
      <c r="D67" s="91">
        <v>8</v>
      </c>
      <c r="E67" s="92">
        <v>2500</v>
      </c>
      <c r="F67" s="276">
        <f t="shared" si="1"/>
        <v>20000</v>
      </c>
    </row>
    <row r="68" spans="1:6" x14ac:dyDescent="0.25">
      <c r="A68" s="432" t="s">
        <v>227</v>
      </c>
      <c r="B68" s="496" t="s">
        <v>120</v>
      </c>
      <c r="C68" s="498"/>
      <c r="D68" s="91">
        <v>8</v>
      </c>
      <c r="E68" s="92">
        <v>250</v>
      </c>
      <c r="F68" s="276">
        <f t="shared" si="1"/>
        <v>2000</v>
      </c>
    </row>
    <row r="69" spans="1:6" ht="25.5" x14ac:dyDescent="0.25">
      <c r="A69" s="736" t="s">
        <v>229</v>
      </c>
      <c r="B69" s="496" t="s">
        <v>120</v>
      </c>
      <c r="C69" s="498"/>
      <c r="D69" s="433"/>
      <c r="E69" s="434"/>
      <c r="F69" s="276">
        <f t="shared" si="1"/>
        <v>0</v>
      </c>
    </row>
    <row r="70" spans="1:6" x14ac:dyDescent="0.25">
      <c r="A70" s="432" t="s">
        <v>220</v>
      </c>
      <c r="B70" s="496" t="s">
        <v>120</v>
      </c>
      <c r="C70" s="498"/>
      <c r="D70" s="91">
        <v>4</v>
      </c>
      <c r="E70" s="92">
        <v>2500</v>
      </c>
      <c r="F70" s="276">
        <f t="shared" si="1"/>
        <v>10000</v>
      </c>
    </row>
    <row r="71" spans="1:6" x14ac:dyDescent="0.25">
      <c r="A71" s="432" t="s">
        <v>224</v>
      </c>
      <c r="B71" s="496" t="s">
        <v>120</v>
      </c>
      <c r="C71" s="498"/>
      <c r="D71" s="91">
        <v>8</v>
      </c>
      <c r="E71" s="92">
        <v>500</v>
      </c>
      <c r="F71" s="276">
        <f t="shared" si="1"/>
        <v>4000</v>
      </c>
    </row>
    <row r="72" spans="1:6" x14ac:dyDescent="0.25">
      <c r="A72" s="432" t="s">
        <v>225</v>
      </c>
      <c r="B72" s="496" t="s">
        <v>120</v>
      </c>
      <c r="C72" s="498"/>
      <c r="D72" s="433">
        <v>18</v>
      </c>
      <c r="E72" s="434">
        <v>350</v>
      </c>
      <c r="F72" s="276">
        <f t="shared" si="1"/>
        <v>6300</v>
      </c>
    </row>
    <row r="73" spans="1:6" x14ac:dyDescent="0.25">
      <c r="A73" s="736" t="s">
        <v>230</v>
      </c>
      <c r="B73" s="496" t="s">
        <v>120</v>
      </c>
      <c r="C73" s="498"/>
      <c r="D73" s="91"/>
      <c r="E73" s="92"/>
      <c r="F73" s="276">
        <f t="shared" si="1"/>
        <v>0</v>
      </c>
    </row>
    <row r="74" spans="1:6" x14ac:dyDescent="0.25">
      <c r="A74" s="432" t="s">
        <v>220</v>
      </c>
      <c r="B74" s="496" t="s">
        <v>120</v>
      </c>
      <c r="C74" s="498"/>
      <c r="D74" s="433">
        <v>0</v>
      </c>
      <c r="E74" s="434">
        <v>2500</v>
      </c>
      <c r="F74" s="276">
        <f t="shared" si="1"/>
        <v>0</v>
      </c>
    </row>
    <row r="75" spans="1:6" x14ac:dyDescent="0.25">
      <c r="A75" s="432" t="s">
        <v>221</v>
      </c>
      <c r="B75" s="496" t="s">
        <v>120</v>
      </c>
      <c r="C75" s="498"/>
      <c r="D75" s="91">
        <v>1</v>
      </c>
      <c r="E75" s="92">
        <v>424.18</v>
      </c>
      <c r="F75" s="276">
        <v>424.26</v>
      </c>
    </row>
    <row r="76" spans="1:6" x14ac:dyDescent="0.25">
      <c r="A76" s="432" t="s">
        <v>222</v>
      </c>
      <c r="B76" s="496" t="s">
        <v>120</v>
      </c>
      <c r="C76" s="498"/>
      <c r="D76" s="91">
        <v>0</v>
      </c>
      <c r="E76" s="92">
        <v>350</v>
      </c>
      <c r="F76" s="276">
        <f t="shared" si="1"/>
        <v>0</v>
      </c>
    </row>
    <row r="77" spans="1:6" x14ac:dyDescent="0.25">
      <c r="A77" s="736" t="s">
        <v>506</v>
      </c>
      <c r="B77" s="496" t="s">
        <v>120</v>
      </c>
      <c r="C77" s="498"/>
      <c r="D77" s="91">
        <v>7</v>
      </c>
      <c r="E77" s="92">
        <v>765</v>
      </c>
      <c r="F77" s="276">
        <f t="shared" si="1"/>
        <v>5355</v>
      </c>
    </row>
    <row r="78" spans="1:6" x14ac:dyDescent="0.25">
      <c r="A78" s="737" t="s">
        <v>507</v>
      </c>
      <c r="B78" s="496" t="s">
        <v>120</v>
      </c>
      <c r="C78" s="498"/>
      <c r="D78" s="91">
        <v>1</v>
      </c>
      <c r="E78" s="92">
        <v>5200</v>
      </c>
      <c r="F78" s="276">
        <v>5200</v>
      </c>
    </row>
    <row r="79" spans="1:6" x14ac:dyDescent="0.25">
      <c r="A79" s="737" t="s">
        <v>508</v>
      </c>
      <c r="B79" s="496" t="s">
        <v>120</v>
      </c>
      <c r="C79" s="498"/>
      <c r="D79" s="91">
        <v>12</v>
      </c>
      <c r="E79" s="92">
        <v>1117.78</v>
      </c>
      <c r="F79" s="276">
        <f t="shared" si="1"/>
        <v>13413.36</v>
      </c>
    </row>
    <row r="80" spans="1:6" x14ac:dyDescent="0.25">
      <c r="A80" s="737" t="s">
        <v>509</v>
      </c>
      <c r="B80" s="496" t="s">
        <v>120</v>
      </c>
      <c r="C80" s="498"/>
      <c r="D80" s="91">
        <v>5</v>
      </c>
      <c r="E80" s="92">
        <v>2066.67</v>
      </c>
      <c r="F80" s="276">
        <f t="shared" si="1"/>
        <v>10333.35</v>
      </c>
    </row>
    <row r="81" spans="1:6" x14ac:dyDescent="0.25">
      <c r="A81" s="737" t="s">
        <v>510</v>
      </c>
      <c r="B81" s="496" t="s">
        <v>120</v>
      </c>
      <c r="C81" s="498"/>
      <c r="D81" s="91">
        <v>5</v>
      </c>
      <c r="E81" s="92">
        <v>2066.67</v>
      </c>
      <c r="F81" s="276">
        <f t="shared" si="1"/>
        <v>10333.35</v>
      </c>
    </row>
    <row r="82" spans="1:6" x14ac:dyDescent="0.25">
      <c r="A82" s="737" t="s">
        <v>511</v>
      </c>
      <c r="B82" s="496" t="s">
        <v>120</v>
      </c>
      <c r="C82" s="498"/>
      <c r="D82" s="91">
        <v>4</v>
      </c>
      <c r="E82" s="92">
        <v>1787.33</v>
      </c>
      <c r="F82" s="276">
        <f t="shared" si="1"/>
        <v>7149.32</v>
      </c>
    </row>
    <row r="83" spans="1:6" x14ac:dyDescent="0.25">
      <c r="A83" s="737" t="s">
        <v>512</v>
      </c>
      <c r="B83" s="496" t="s">
        <v>120</v>
      </c>
      <c r="C83" s="498"/>
      <c r="D83" s="91">
        <v>4</v>
      </c>
      <c r="E83" s="92">
        <v>1787.33</v>
      </c>
      <c r="F83" s="276">
        <f t="shared" si="1"/>
        <v>7149.32</v>
      </c>
    </row>
    <row r="84" spans="1:6" x14ac:dyDescent="0.25">
      <c r="A84" s="737" t="s">
        <v>513</v>
      </c>
      <c r="B84" s="496" t="s">
        <v>120</v>
      </c>
      <c r="C84" s="498"/>
      <c r="D84" s="91">
        <v>2</v>
      </c>
      <c r="E84" s="92">
        <v>1937.33</v>
      </c>
      <c r="F84" s="276">
        <f t="shared" si="1"/>
        <v>3874.66</v>
      </c>
    </row>
    <row r="85" spans="1:6" x14ac:dyDescent="0.25">
      <c r="A85" s="737" t="s">
        <v>514</v>
      </c>
      <c r="B85" s="496" t="s">
        <v>120</v>
      </c>
      <c r="C85" s="498"/>
      <c r="D85" s="91">
        <v>2</v>
      </c>
      <c r="E85" s="92">
        <v>1937.33</v>
      </c>
      <c r="F85" s="276">
        <f t="shared" si="1"/>
        <v>3874.66</v>
      </c>
    </row>
    <row r="86" spans="1:6" x14ac:dyDescent="0.25">
      <c r="A86" s="737" t="s">
        <v>515</v>
      </c>
      <c r="B86" s="496" t="s">
        <v>120</v>
      </c>
      <c r="C86" s="498"/>
      <c r="D86" s="91">
        <v>1</v>
      </c>
      <c r="E86" s="92">
        <v>2106.33</v>
      </c>
      <c r="F86" s="276">
        <f t="shared" si="1"/>
        <v>2106.33</v>
      </c>
    </row>
    <row r="87" spans="1:6" x14ac:dyDescent="0.25">
      <c r="A87" s="737" t="s">
        <v>516</v>
      </c>
      <c r="B87" s="496" t="s">
        <v>120</v>
      </c>
      <c r="C87" s="498"/>
      <c r="D87" s="91">
        <v>1</v>
      </c>
      <c r="E87" s="92">
        <v>2106.33</v>
      </c>
      <c r="F87" s="276">
        <f t="shared" si="1"/>
        <v>2106.33</v>
      </c>
    </row>
    <row r="88" spans="1:6" x14ac:dyDescent="0.25">
      <c r="A88" s="737" t="s">
        <v>517</v>
      </c>
      <c r="B88" s="496" t="s">
        <v>120</v>
      </c>
      <c r="C88" s="498"/>
      <c r="D88" s="91">
        <v>5</v>
      </c>
      <c r="E88" s="92">
        <v>4611.33</v>
      </c>
      <c r="F88" s="276">
        <f t="shared" si="1"/>
        <v>23056.65</v>
      </c>
    </row>
    <row r="89" spans="1:6" x14ac:dyDescent="0.25">
      <c r="A89" s="737" t="s">
        <v>518</v>
      </c>
      <c r="B89" s="496" t="s">
        <v>120</v>
      </c>
      <c r="C89" s="498"/>
      <c r="D89" s="91">
        <v>5</v>
      </c>
      <c r="E89" s="92">
        <v>4611.33</v>
      </c>
      <c r="F89" s="276">
        <f t="shared" si="1"/>
        <v>23056.65</v>
      </c>
    </row>
    <row r="90" spans="1:6" x14ac:dyDescent="0.25">
      <c r="A90" s="737" t="s">
        <v>519</v>
      </c>
      <c r="B90" s="496" t="s">
        <v>120</v>
      </c>
      <c r="C90" s="498"/>
      <c r="D90" s="91">
        <v>2</v>
      </c>
      <c r="E90" s="92">
        <v>4642.33</v>
      </c>
      <c r="F90" s="276">
        <f t="shared" si="1"/>
        <v>9284.66</v>
      </c>
    </row>
    <row r="91" spans="1:6" x14ac:dyDescent="0.25">
      <c r="A91" s="737" t="s">
        <v>520</v>
      </c>
      <c r="B91" s="496" t="s">
        <v>120</v>
      </c>
      <c r="C91" s="498"/>
      <c r="D91" s="91">
        <v>2</v>
      </c>
      <c r="E91" s="92">
        <v>4642.33</v>
      </c>
      <c r="F91" s="276">
        <f t="shared" si="1"/>
        <v>9284.66</v>
      </c>
    </row>
    <row r="92" spans="1:6" x14ac:dyDescent="0.25">
      <c r="A92" s="737" t="s">
        <v>521</v>
      </c>
      <c r="B92" s="496" t="s">
        <v>120</v>
      </c>
      <c r="C92" s="498"/>
      <c r="D92" s="91">
        <v>4</v>
      </c>
      <c r="E92" s="92">
        <v>889.67</v>
      </c>
      <c r="F92" s="276">
        <f t="shared" si="1"/>
        <v>3558.68</v>
      </c>
    </row>
    <row r="93" spans="1:6" x14ac:dyDescent="0.25">
      <c r="A93" s="737" t="s">
        <v>522</v>
      </c>
      <c r="B93" s="496" t="s">
        <v>120</v>
      </c>
      <c r="C93" s="498"/>
      <c r="D93" s="91">
        <v>4</v>
      </c>
      <c r="E93" s="92">
        <v>889.67</v>
      </c>
      <c r="F93" s="276">
        <f t="shared" si="1"/>
        <v>3558.68</v>
      </c>
    </row>
    <row r="94" spans="1:6" x14ac:dyDescent="0.25">
      <c r="A94" s="737" t="s">
        <v>523</v>
      </c>
      <c r="B94" s="496" t="s">
        <v>120</v>
      </c>
      <c r="C94" s="498"/>
      <c r="D94" s="91">
        <v>2</v>
      </c>
      <c r="E94" s="92">
        <v>923</v>
      </c>
      <c r="F94" s="276">
        <f t="shared" si="1"/>
        <v>1846</v>
      </c>
    </row>
    <row r="95" spans="1:6" x14ac:dyDescent="0.25">
      <c r="A95" s="737" t="s">
        <v>524</v>
      </c>
      <c r="B95" s="496" t="s">
        <v>120</v>
      </c>
      <c r="C95" s="498"/>
      <c r="D95" s="91">
        <v>2</v>
      </c>
      <c r="E95" s="92">
        <v>923</v>
      </c>
      <c r="F95" s="276">
        <f t="shared" si="1"/>
        <v>1846</v>
      </c>
    </row>
    <row r="96" spans="1:6" x14ac:dyDescent="0.25">
      <c r="A96" s="737" t="s">
        <v>525</v>
      </c>
      <c r="B96" s="496" t="s">
        <v>120</v>
      </c>
      <c r="C96" s="498"/>
      <c r="D96" s="91">
        <v>5</v>
      </c>
      <c r="E96" s="92">
        <v>1950.67</v>
      </c>
      <c r="F96" s="276">
        <f t="shared" si="1"/>
        <v>9753.35</v>
      </c>
    </row>
    <row r="97" spans="1:6" x14ac:dyDescent="0.25">
      <c r="A97" s="737" t="s">
        <v>526</v>
      </c>
      <c r="B97" s="496" t="s">
        <v>120</v>
      </c>
      <c r="C97" s="498"/>
      <c r="D97" s="91">
        <v>5</v>
      </c>
      <c r="E97" s="92">
        <v>1950.67</v>
      </c>
      <c r="F97" s="276">
        <f t="shared" si="1"/>
        <v>9753.35</v>
      </c>
    </row>
    <row r="98" spans="1:6" x14ac:dyDescent="0.25">
      <c r="A98" s="737" t="s">
        <v>527</v>
      </c>
      <c r="B98" s="496" t="s">
        <v>120</v>
      </c>
      <c r="C98" s="498"/>
      <c r="D98" s="91">
        <v>1</v>
      </c>
      <c r="E98" s="92">
        <v>2143.67</v>
      </c>
      <c r="F98" s="276">
        <f t="shared" si="1"/>
        <v>2143.67</v>
      </c>
    </row>
    <row r="99" spans="1:6" x14ac:dyDescent="0.25">
      <c r="A99" s="737" t="s">
        <v>528</v>
      </c>
      <c r="B99" s="496" t="s">
        <v>120</v>
      </c>
      <c r="C99" s="498"/>
      <c r="D99" s="91">
        <v>1</v>
      </c>
      <c r="E99" s="92">
        <v>2143.67</v>
      </c>
      <c r="F99" s="276">
        <f t="shared" si="1"/>
        <v>2143.67</v>
      </c>
    </row>
    <row r="100" spans="1:6" x14ac:dyDescent="0.25">
      <c r="A100" s="737" t="s">
        <v>529</v>
      </c>
      <c r="B100" s="496" t="s">
        <v>120</v>
      </c>
      <c r="C100" s="498"/>
      <c r="D100" s="91">
        <v>2</v>
      </c>
      <c r="E100" s="92">
        <v>746.67</v>
      </c>
      <c r="F100" s="276">
        <f t="shared" si="1"/>
        <v>1493.34</v>
      </c>
    </row>
    <row r="101" spans="1:6" x14ac:dyDescent="0.25">
      <c r="A101" s="737" t="s">
        <v>530</v>
      </c>
      <c r="B101" s="496" t="s">
        <v>120</v>
      </c>
      <c r="C101" s="498"/>
      <c r="D101" s="91">
        <v>2</v>
      </c>
      <c r="E101" s="92">
        <v>746.67</v>
      </c>
      <c r="F101" s="276">
        <f t="shared" si="1"/>
        <v>1493.34</v>
      </c>
    </row>
    <row r="102" spans="1:6" x14ac:dyDescent="0.25">
      <c r="A102" s="737" t="s">
        <v>531</v>
      </c>
      <c r="B102" s="496" t="s">
        <v>120</v>
      </c>
      <c r="C102" s="498"/>
      <c r="D102" s="91">
        <v>3</v>
      </c>
      <c r="E102" s="92">
        <v>767.22</v>
      </c>
      <c r="F102" s="276">
        <f t="shared" si="1"/>
        <v>2301.66</v>
      </c>
    </row>
    <row r="103" spans="1:6" x14ac:dyDescent="0.25">
      <c r="A103" s="737" t="s">
        <v>532</v>
      </c>
      <c r="B103" s="496" t="s">
        <v>120</v>
      </c>
      <c r="C103" s="498"/>
      <c r="D103" s="91">
        <v>3</v>
      </c>
      <c r="E103" s="92">
        <v>767.22</v>
      </c>
      <c r="F103" s="276">
        <f t="shared" si="1"/>
        <v>2301.66</v>
      </c>
    </row>
    <row r="104" spans="1:6" x14ac:dyDescent="0.25">
      <c r="A104" s="737" t="s">
        <v>533</v>
      </c>
      <c r="B104" s="496" t="s">
        <v>120</v>
      </c>
      <c r="C104" s="498"/>
      <c r="D104" s="91">
        <v>1</v>
      </c>
      <c r="E104" s="92">
        <v>801.67</v>
      </c>
      <c r="F104" s="276">
        <f t="shared" si="1"/>
        <v>801.67</v>
      </c>
    </row>
    <row r="105" spans="1:6" x14ac:dyDescent="0.25">
      <c r="A105" s="737" t="s">
        <v>534</v>
      </c>
      <c r="B105" s="496" t="s">
        <v>120</v>
      </c>
      <c r="C105" s="498"/>
      <c r="D105" s="91">
        <v>1</v>
      </c>
      <c r="E105" s="92">
        <v>801.67</v>
      </c>
      <c r="F105" s="276">
        <f t="shared" si="1"/>
        <v>801.67</v>
      </c>
    </row>
    <row r="106" spans="1:6" x14ac:dyDescent="0.25">
      <c r="A106" s="738" t="s">
        <v>535</v>
      </c>
      <c r="B106" s="496" t="s">
        <v>120</v>
      </c>
      <c r="C106" s="498"/>
      <c r="D106" s="495">
        <v>10</v>
      </c>
      <c r="E106" s="436">
        <v>800</v>
      </c>
      <c r="F106" s="276">
        <f t="shared" si="1"/>
        <v>8000</v>
      </c>
    </row>
    <row r="107" spans="1:6" x14ac:dyDescent="0.25">
      <c r="A107" s="738" t="s">
        <v>536</v>
      </c>
      <c r="B107" s="496" t="s">
        <v>120</v>
      </c>
      <c r="C107" s="498"/>
      <c r="D107" s="495">
        <v>10</v>
      </c>
      <c r="E107" s="436">
        <v>900</v>
      </c>
      <c r="F107" s="276">
        <f t="shared" si="1"/>
        <v>9000</v>
      </c>
    </row>
    <row r="108" spans="1:6" x14ac:dyDescent="0.25">
      <c r="A108" s="738" t="s">
        <v>537</v>
      </c>
      <c r="B108" s="496" t="s">
        <v>120</v>
      </c>
      <c r="C108" s="498"/>
      <c r="D108" s="495">
        <v>10</v>
      </c>
      <c r="E108" s="436">
        <v>700</v>
      </c>
      <c r="F108" s="276">
        <f t="shared" si="1"/>
        <v>7000</v>
      </c>
    </row>
    <row r="109" spans="1:6" x14ac:dyDescent="0.25">
      <c r="A109" s="738" t="s">
        <v>538</v>
      </c>
      <c r="B109" s="496" t="s">
        <v>120</v>
      </c>
      <c r="C109" s="498"/>
      <c r="D109" s="495">
        <v>20</v>
      </c>
      <c r="E109" s="436">
        <v>350</v>
      </c>
      <c r="F109" s="276">
        <f t="shared" si="1"/>
        <v>7000</v>
      </c>
    </row>
    <row r="110" spans="1:6" x14ac:dyDescent="0.25">
      <c r="A110" s="736" t="s">
        <v>539</v>
      </c>
      <c r="B110" s="496" t="s">
        <v>120</v>
      </c>
      <c r="C110" s="498"/>
      <c r="D110" s="91">
        <v>10</v>
      </c>
      <c r="E110" s="92">
        <v>290</v>
      </c>
      <c r="F110" s="276">
        <f t="shared" si="1"/>
        <v>2900</v>
      </c>
    </row>
    <row r="111" spans="1:6" x14ac:dyDescent="0.25">
      <c r="A111" s="736" t="s">
        <v>540</v>
      </c>
      <c r="B111" s="496" t="s">
        <v>120</v>
      </c>
      <c r="C111" s="498"/>
      <c r="D111" s="91">
        <v>2</v>
      </c>
      <c r="E111" s="91">
        <v>1523</v>
      </c>
      <c r="F111" s="276">
        <f t="shared" si="1"/>
        <v>3046</v>
      </c>
    </row>
    <row r="112" spans="1:6" x14ac:dyDescent="0.25">
      <c r="A112" s="736" t="s">
        <v>541</v>
      </c>
      <c r="B112" s="496" t="s">
        <v>120</v>
      </c>
      <c r="C112" s="498"/>
      <c r="D112" s="91">
        <v>2</v>
      </c>
      <c r="E112" s="91">
        <v>1510</v>
      </c>
      <c r="F112" s="276">
        <f t="shared" si="1"/>
        <v>3020</v>
      </c>
    </row>
    <row r="113" spans="1:6" x14ac:dyDescent="0.25">
      <c r="A113" s="736" t="s">
        <v>542</v>
      </c>
      <c r="B113" s="496" t="s">
        <v>120</v>
      </c>
      <c r="C113" s="498"/>
      <c r="D113" s="91">
        <v>20</v>
      </c>
      <c r="E113" s="91">
        <v>150</v>
      </c>
      <c r="F113" s="276">
        <f t="shared" si="1"/>
        <v>3000</v>
      </c>
    </row>
    <row r="114" spans="1:6" x14ac:dyDescent="0.25">
      <c r="A114" s="736" t="s">
        <v>543</v>
      </c>
      <c r="B114" s="496" t="s">
        <v>120</v>
      </c>
      <c r="C114" s="498"/>
      <c r="D114" s="91">
        <v>16</v>
      </c>
      <c r="E114" s="91">
        <v>200</v>
      </c>
      <c r="F114" s="276">
        <f t="shared" si="1"/>
        <v>3200</v>
      </c>
    </row>
    <row r="115" spans="1:6" x14ac:dyDescent="0.25">
      <c r="A115" s="736" t="s">
        <v>544</v>
      </c>
      <c r="B115" s="496" t="s">
        <v>120</v>
      </c>
      <c r="C115" s="498"/>
      <c r="D115" s="91">
        <v>3</v>
      </c>
      <c r="E115" s="91">
        <v>1140</v>
      </c>
      <c r="F115" s="276">
        <f t="shared" si="1"/>
        <v>3420</v>
      </c>
    </row>
    <row r="116" spans="1:6" x14ac:dyDescent="0.25">
      <c r="A116" s="736" t="s">
        <v>545</v>
      </c>
      <c r="B116" s="496" t="s">
        <v>120</v>
      </c>
      <c r="C116" s="498"/>
      <c r="D116" s="91">
        <v>16</v>
      </c>
      <c r="E116" s="91">
        <v>500</v>
      </c>
      <c r="F116" s="276">
        <f t="shared" si="1"/>
        <v>8000</v>
      </c>
    </row>
    <row r="117" spans="1:6" x14ac:dyDescent="0.25">
      <c r="A117" s="736" t="s">
        <v>546</v>
      </c>
      <c r="B117" s="496" t="s">
        <v>120</v>
      </c>
      <c r="C117" s="498"/>
      <c r="D117" s="91">
        <v>3</v>
      </c>
      <c r="E117" s="91">
        <v>450</v>
      </c>
      <c r="F117" s="276">
        <f t="shared" si="1"/>
        <v>1350</v>
      </c>
    </row>
    <row r="118" spans="1:6" x14ac:dyDescent="0.25">
      <c r="A118" s="736" t="s">
        <v>547</v>
      </c>
      <c r="B118" s="496" t="s">
        <v>120</v>
      </c>
      <c r="C118" s="498"/>
      <c r="D118" s="91">
        <v>3</v>
      </c>
      <c r="E118" s="91">
        <v>800</v>
      </c>
      <c r="F118" s="276">
        <f t="shared" si="1"/>
        <v>2400</v>
      </c>
    </row>
    <row r="119" spans="1:6" x14ac:dyDescent="0.25">
      <c r="A119" s="736" t="s">
        <v>548</v>
      </c>
      <c r="B119" s="496" t="s">
        <v>120</v>
      </c>
      <c r="C119" s="498"/>
      <c r="D119" s="91">
        <v>1</v>
      </c>
      <c r="E119" s="91">
        <v>1300</v>
      </c>
      <c r="F119" s="276">
        <f t="shared" si="1"/>
        <v>1300</v>
      </c>
    </row>
    <row r="120" spans="1:6" x14ac:dyDescent="0.25">
      <c r="A120" s="736" t="s">
        <v>549</v>
      </c>
      <c r="B120" s="496" t="s">
        <v>120</v>
      </c>
      <c r="C120" s="498"/>
      <c r="D120" s="91">
        <v>3</v>
      </c>
      <c r="E120" s="91">
        <v>2990</v>
      </c>
      <c r="F120" s="276">
        <f t="shared" si="1"/>
        <v>8970</v>
      </c>
    </row>
    <row r="121" spans="1:6" x14ac:dyDescent="0.25">
      <c r="A121" s="736" t="s">
        <v>550</v>
      </c>
      <c r="B121" s="496" t="s">
        <v>120</v>
      </c>
      <c r="C121" s="498"/>
      <c r="D121" s="91">
        <v>3</v>
      </c>
      <c r="E121" s="91">
        <v>1350</v>
      </c>
      <c r="F121" s="276">
        <f t="shared" si="1"/>
        <v>4050</v>
      </c>
    </row>
    <row r="122" spans="1:6" x14ac:dyDescent="0.25">
      <c r="A122" s="736" t="s">
        <v>551</v>
      </c>
      <c r="B122" s="496" t="s">
        <v>120</v>
      </c>
      <c r="C122" s="498"/>
      <c r="D122" s="91">
        <v>5</v>
      </c>
      <c r="E122" s="91">
        <v>1200</v>
      </c>
      <c r="F122" s="276">
        <f t="shared" ref="F122:F153" si="2">D122*E122</f>
        <v>6000</v>
      </c>
    </row>
    <row r="123" spans="1:6" x14ac:dyDescent="0.25">
      <c r="A123" s="736" t="s">
        <v>552</v>
      </c>
      <c r="B123" s="496" t="s">
        <v>120</v>
      </c>
      <c r="C123" s="498"/>
      <c r="D123" s="91">
        <v>4</v>
      </c>
      <c r="E123" s="91">
        <v>3900</v>
      </c>
      <c r="F123" s="276">
        <f t="shared" si="2"/>
        <v>15600</v>
      </c>
    </row>
    <row r="124" spans="1:6" x14ac:dyDescent="0.25">
      <c r="A124" s="736" t="s">
        <v>218</v>
      </c>
      <c r="B124" s="496" t="s">
        <v>120</v>
      </c>
      <c r="C124" s="498"/>
      <c r="D124" s="91">
        <v>1</v>
      </c>
      <c r="E124" s="92">
        <v>7539.5</v>
      </c>
      <c r="F124" s="276">
        <f t="shared" si="2"/>
        <v>7539.5</v>
      </c>
    </row>
    <row r="125" spans="1:6" x14ac:dyDescent="0.25">
      <c r="A125" s="736" t="s">
        <v>553</v>
      </c>
      <c r="B125" s="496" t="s">
        <v>120</v>
      </c>
      <c r="C125" s="498"/>
      <c r="D125" s="91">
        <v>100</v>
      </c>
      <c r="E125" s="92">
        <v>180</v>
      </c>
      <c r="F125" s="276">
        <f t="shared" si="2"/>
        <v>18000</v>
      </c>
    </row>
    <row r="126" spans="1:6" x14ac:dyDescent="0.25">
      <c r="A126" s="736" t="s">
        <v>554</v>
      </c>
      <c r="B126" s="496" t="s">
        <v>120</v>
      </c>
      <c r="C126" s="498"/>
      <c r="D126" s="91">
        <v>2</v>
      </c>
      <c r="E126" s="92">
        <v>2967.5</v>
      </c>
      <c r="F126" s="276">
        <f t="shared" si="2"/>
        <v>5935</v>
      </c>
    </row>
    <row r="127" spans="1:6" x14ac:dyDescent="0.25">
      <c r="A127" s="736" t="s">
        <v>555</v>
      </c>
      <c r="B127" s="496" t="s">
        <v>120</v>
      </c>
      <c r="C127" s="498"/>
      <c r="D127" s="91">
        <v>2</v>
      </c>
      <c r="E127" s="92">
        <v>3760</v>
      </c>
      <c r="F127" s="276">
        <f t="shared" si="2"/>
        <v>7520</v>
      </c>
    </row>
    <row r="128" spans="1:6" x14ac:dyDescent="0.25">
      <c r="A128" s="736" t="s">
        <v>556</v>
      </c>
      <c r="B128" s="496" t="s">
        <v>120</v>
      </c>
      <c r="C128" s="498"/>
      <c r="D128" s="91">
        <v>5</v>
      </c>
      <c r="E128" s="92">
        <v>605</v>
      </c>
      <c r="F128" s="276">
        <f t="shared" si="2"/>
        <v>3025</v>
      </c>
    </row>
    <row r="129" spans="1:6" x14ac:dyDescent="0.25">
      <c r="A129" s="736" t="s">
        <v>557</v>
      </c>
      <c r="B129" s="496" t="s">
        <v>120</v>
      </c>
      <c r="C129" s="498"/>
      <c r="D129" s="91">
        <v>4</v>
      </c>
      <c r="E129" s="92">
        <v>700</v>
      </c>
      <c r="F129" s="276">
        <f t="shared" si="2"/>
        <v>2800</v>
      </c>
    </row>
    <row r="130" spans="1:6" x14ac:dyDescent="0.25">
      <c r="A130" s="736" t="s">
        <v>558</v>
      </c>
      <c r="B130" s="496" t="s">
        <v>120</v>
      </c>
      <c r="C130" s="498"/>
      <c r="D130" s="91">
        <v>10</v>
      </c>
      <c r="E130" s="92">
        <v>290</v>
      </c>
      <c r="F130" s="276">
        <f t="shared" si="2"/>
        <v>2900</v>
      </c>
    </row>
    <row r="131" spans="1:6" x14ac:dyDescent="0.25">
      <c r="A131" s="736" t="s">
        <v>559</v>
      </c>
      <c r="B131" s="496" t="s">
        <v>120</v>
      </c>
      <c r="C131" s="498"/>
      <c r="D131" s="91">
        <v>1</v>
      </c>
      <c r="E131" s="92">
        <v>260</v>
      </c>
      <c r="F131" s="276">
        <f t="shared" si="2"/>
        <v>260</v>
      </c>
    </row>
    <row r="132" spans="1:6" x14ac:dyDescent="0.25">
      <c r="A132" s="736" t="s">
        <v>560</v>
      </c>
      <c r="B132" s="496" t="s">
        <v>120</v>
      </c>
      <c r="C132" s="498"/>
      <c r="D132" s="91">
        <v>1</v>
      </c>
      <c r="E132" s="92">
        <v>250</v>
      </c>
      <c r="F132" s="276">
        <f t="shared" si="2"/>
        <v>250</v>
      </c>
    </row>
    <row r="133" spans="1:6" x14ac:dyDescent="0.25">
      <c r="A133" s="736" t="s">
        <v>561</v>
      </c>
      <c r="B133" s="496" t="s">
        <v>120</v>
      </c>
      <c r="C133" s="498"/>
      <c r="D133" s="91">
        <v>2</v>
      </c>
      <c r="E133" s="92">
        <v>96</v>
      </c>
      <c r="F133" s="276">
        <f t="shared" si="2"/>
        <v>192</v>
      </c>
    </row>
    <row r="134" spans="1:6" x14ac:dyDescent="0.25">
      <c r="A134" s="736" t="s">
        <v>562</v>
      </c>
      <c r="B134" s="496" t="s">
        <v>120</v>
      </c>
      <c r="C134" s="498"/>
      <c r="D134" s="91">
        <v>4</v>
      </c>
      <c r="E134" s="92">
        <v>25</v>
      </c>
      <c r="F134" s="276">
        <f t="shared" si="2"/>
        <v>100</v>
      </c>
    </row>
    <row r="135" spans="1:6" x14ac:dyDescent="0.25">
      <c r="A135" s="736" t="s">
        <v>563</v>
      </c>
      <c r="B135" s="496" t="s">
        <v>120</v>
      </c>
      <c r="C135" s="498"/>
      <c r="D135" s="91">
        <v>12.5</v>
      </c>
      <c r="E135" s="92">
        <v>883</v>
      </c>
      <c r="F135" s="276">
        <f t="shared" si="2"/>
        <v>11037.5</v>
      </c>
    </row>
    <row r="136" spans="1:6" x14ac:dyDescent="0.25">
      <c r="A136" s="736" t="s">
        <v>564</v>
      </c>
      <c r="B136" s="496" t="s">
        <v>120</v>
      </c>
      <c r="C136" s="498"/>
      <c r="D136" s="91">
        <v>1</v>
      </c>
      <c r="E136" s="92">
        <v>213</v>
      </c>
      <c r="F136" s="276">
        <f t="shared" si="2"/>
        <v>213</v>
      </c>
    </row>
    <row r="137" spans="1:6" x14ac:dyDescent="0.25">
      <c r="A137" s="736" t="s">
        <v>565</v>
      </c>
      <c r="B137" s="496" t="s">
        <v>120</v>
      </c>
      <c r="C137" s="498"/>
      <c r="D137" s="91">
        <v>1</v>
      </c>
      <c r="E137" s="92">
        <v>213</v>
      </c>
      <c r="F137" s="276">
        <f t="shared" si="2"/>
        <v>213</v>
      </c>
    </row>
    <row r="138" spans="1:6" x14ac:dyDescent="0.25">
      <c r="A138" s="736" t="s">
        <v>566</v>
      </c>
      <c r="B138" s="496" t="s">
        <v>120</v>
      </c>
      <c r="C138" s="498"/>
      <c r="D138" s="91">
        <v>5</v>
      </c>
      <c r="E138" s="92">
        <v>395</v>
      </c>
      <c r="F138" s="276">
        <f t="shared" si="2"/>
        <v>1975</v>
      </c>
    </row>
    <row r="139" spans="1:6" x14ac:dyDescent="0.25">
      <c r="A139" s="736" t="s">
        <v>567</v>
      </c>
      <c r="B139" s="496" t="s">
        <v>120</v>
      </c>
      <c r="C139" s="498"/>
      <c r="D139" s="91">
        <v>1</v>
      </c>
      <c r="E139" s="92">
        <v>40</v>
      </c>
      <c r="F139" s="276">
        <f t="shared" si="2"/>
        <v>40</v>
      </c>
    </row>
    <row r="140" spans="1:6" x14ac:dyDescent="0.25">
      <c r="A140" s="736" t="s">
        <v>297</v>
      </c>
      <c r="B140" s="496" t="s">
        <v>120</v>
      </c>
      <c r="C140" s="498"/>
      <c r="D140" s="91">
        <v>1</v>
      </c>
      <c r="E140" s="92">
        <v>7714.7</v>
      </c>
      <c r="F140" s="276">
        <f t="shared" si="2"/>
        <v>7714.7</v>
      </c>
    </row>
    <row r="141" spans="1:6" x14ac:dyDescent="0.25">
      <c r="A141" s="737" t="s">
        <v>568</v>
      </c>
      <c r="B141" s="496" t="s">
        <v>120</v>
      </c>
      <c r="C141" s="498"/>
      <c r="D141" s="91">
        <v>12</v>
      </c>
      <c r="E141" s="92">
        <v>1200</v>
      </c>
      <c r="F141" s="276">
        <f t="shared" si="2"/>
        <v>14400</v>
      </c>
    </row>
    <row r="142" spans="1:6" x14ac:dyDescent="0.25">
      <c r="A142" s="737" t="s">
        <v>569</v>
      </c>
      <c r="B142" s="496" t="s">
        <v>120</v>
      </c>
      <c r="C142" s="498"/>
      <c r="D142" s="91">
        <v>6</v>
      </c>
      <c r="E142" s="92">
        <v>1450</v>
      </c>
      <c r="F142" s="276">
        <f t="shared" si="2"/>
        <v>8700</v>
      </c>
    </row>
    <row r="143" spans="1:6" x14ac:dyDescent="0.25">
      <c r="A143" s="401" t="s">
        <v>298</v>
      </c>
      <c r="B143" s="496" t="s">
        <v>120</v>
      </c>
      <c r="C143" s="498"/>
      <c r="D143" s="158">
        <v>0</v>
      </c>
      <c r="E143" s="158">
        <v>3064.7</v>
      </c>
      <c r="F143" s="276">
        <f t="shared" si="2"/>
        <v>0</v>
      </c>
    </row>
    <row r="144" spans="1:6" x14ac:dyDescent="0.25">
      <c r="A144" s="401" t="s">
        <v>570</v>
      </c>
      <c r="B144" s="496" t="s">
        <v>120</v>
      </c>
      <c r="C144" s="498"/>
      <c r="D144" s="158">
        <v>4</v>
      </c>
      <c r="E144" s="158">
        <v>450</v>
      </c>
      <c r="F144" s="276">
        <f t="shared" si="2"/>
        <v>1800</v>
      </c>
    </row>
    <row r="145" spans="1:7" x14ac:dyDescent="0.25">
      <c r="A145" s="401" t="s">
        <v>571</v>
      </c>
      <c r="B145" s="496" t="s">
        <v>120</v>
      </c>
      <c r="C145" s="498"/>
      <c r="D145" s="158">
        <v>5</v>
      </c>
      <c r="E145" s="158">
        <v>1000</v>
      </c>
      <c r="F145" s="276">
        <f t="shared" si="2"/>
        <v>5000</v>
      </c>
    </row>
    <row r="146" spans="1:7" x14ac:dyDescent="0.25">
      <c r="A146" s="401" t="s">
        <v>572</v>
      </c>
      <c r="B146" s="496" t="s">
        <v>120</v>
      </c>
      <c r="C146" s="498"/>
      <c r="D146" s="158">
        <v>230</v>
      </c>
      <c r="E146" s="158">
        <v>80</v>
      </c>
      <c r="F146" s="276">
        <f t="shared" si="2"/>
        <v>18400</v>
      </c>
    </row>
    <row r="147" spans="1:7" x14ac:dyDescent="0.25">
      <c r="A147" s="401" t="s">
        <v>573</v>
      </c>
      <c r="B147" s="496" t="s">
        <v>120</v>
      </c>
      <c r="C147" s="498"/>
      <c r="D147" s="158">
        <v>90</v>
      </c>
      <c r="E147" s="158">
        <v>80</v>
      </c>
      <c r="F147" s="276">
        <f t="shared" si="2"/>
        <v>7200</v>
      </c>
    </row>
    <row r="148" spans="1:7" x14ac:dyDescent="0.25">
      <c r="A148" s="401" t="s">
        <v>574</v>
      </c>
      <c r="B148" s="496" t="s">
        <v>120</v>
      </c>
      <c r="C148" s="498"/>
      <c r="D148" s="158">
        <v>5</v>
      </c>
      <c r="E148" s="158">
        <v>605</v>
      </c>
      <c r="F148" s="276">
        <f t="shared" si="2"/>
        <v>3025</v>
      </c>
    </row>
    <row r="149" spans="1:7" x14ac:dyDescent="0.25">
      <c r="A149" s="401" t="s">
        <v>575</v>
      </c>
      <c r="B149" s="496" t="s">
        <v>120</v>
      </c>
      <c r="C149" s="498"/>
      <c r="D149" s="158">
        <v>1</v>
      </c>
      <c r="E149" s="158">
        <v>4580</v>
      </c>
      <c r="F149" s="276">
        <f t="shared" si="2"/>
        <v>4580</v>
      </c>
    </row>
    <row r="150" spans="1:7" x14ac:dyDescent="0.25">
      <c r="A150" s="401" t="s">
        <v>576</v>
      </c>
      <c r="B150" s="496" t="s">
        <v>120</v>
      </c>
      <c r="C150" s="498"/>
      <c r="D150" s="158">
        <v>550</v>
      </c>
      <c r="E150" s="158">
        <v>7.5</v>
      </c>
      <c r="F150" s="276">
        <f t="shared" si="2"/>
        <v>4125</v>
      </c>
    </row>
    <row r="151" spans="1:7" x14ac:dyDescent="0.25">
      <c r="A151" s="401" t="s">
        <v>577</v>
      </c>
      <c r="B151" s="496" t="s">
        <v>120</v>
      </c>
      <c r="C151" s="498"/>
      <c r="D151" s="158">
        <v>560</v>
      </c>
      <c r="E151" s="158">
        <v>32.5</v>
      </c>
      <c r="F151" s="276">
        <f t="shared" si="2"/>
        <v>18200</v>
      </c>
    </row>
    <row r="152" spans="1:7" x14ac:dyDescent="0.25">
      <c r="A152" s="401" t="s">
        <v>578</v>
      </c>
      <c r="B152" s="496" t="s">
        <v>120</v>
      </c>
      <c r="C152" s="498"/>
      <c r="D152" s="158">
        <v>1</v>
      </c>
      <c r="E152" s="158">
        <v>9000</v>
      </c>
      <c r="F152" s="276">
        <f t="shared" si="2"/>
        <v>9000</v>
      </c>
    </row>
    <row r="153" spans="1:7" x14ac:dyDescent="0.25">
      <c r="A153" s="103" t="s">
        <v>579</v>
      </c>
      <c r="B153" s="496" t="s">
        <v>120</v>
      </c>
      <c r="C153" s="498"/>
      <c r="D153" s="70">
        <v>300</v>
      </c>
      <c r="E153" s="387">
        <v>36</v>
      </c>
      <c r="F153" s="276">
        <f t="shared" si="2"/>
        <v>10800</v>
      </c>
    </row>
    <row r="154" spans="1:7" hidden="1" x14ac:dyDescent="0.25">
      <c r="A154" s="355" t="s">
        <v>219</v>
      </c>
      <c r="B154" s="356"/>
      <c r="C154" s="93"/>
      <c r="D154" s="91" t="s">
        <v>82</v>
      </c>
      <c r="E154" s="91"/>
      <c r="F154" s="92"/>
      <c r="G154" s="276"/>
    </row>
    <row r="155" spans="1:7" ht="18.75" x14ac:dyDescent="0.25">
      <c r="F155" s="357">
        <f>SUM(F57:F154)</f>
        <v>592362.26999999979</v>
      </c>
    </row>
    <row r="156" spans="1:7" s="278" customFormat="1" ht="18.75" x14ac:dyDescent="0.25">
      <c r="A156" s="277"/>
      <c r="B156" s="277"/>
      <c r="C156" s="277"/>
      <c r="D156" s="277"/>
      <c r="E156" s="277"/>
      <c r="F156" s="277"/>
      <c r="G156" s="253"/>
    </row>
    <row r="157" spans="1:7" s="278" customFormat="1" ht="18.75" x14ac:dyDescent="0.25">
      <c r="A157" s="277"/>
      <c r="B157" s="277"/>
      <c r="C157" s="277"/>
      <c r="D157" s="277"/>
      <c r="E157" s="277"/>
      <c r="F157" s="277"/>
      <c r="G157" s="253"/>
    </row>
    <row r="158" spans="1:7" ht="18.75" x14ac:dyDescent="0.25">
      <c r="A158" s="277"/>
      <c r="B158" s="277"/>
      <c r="C158" s="277"/>
      <c r="D158" s="277"/>
      <c r="E158" s="277"/>
      <c r="F158" s="277"/>
      <c r="G158" s="253"/>
    </row>
    <row r="159" spans="1:7" ht="32.25" customHeight="1" x14ac:dyDescent="0.25">
      <c r="A159" s="678" t="str">
        <f>'таланты+инициативы0,262'!A125:F125</f>
        <v xml:space="preserve">Затраты на оплату труда работников, непосредственно НЕ связанных с выполнением работы </v>
      </c>
      <c r="B159" s="678"/>
      <c r="C159" s="678"/>
      <c r="D159" s="678"/>
      <c r="E159" s="678"/>
      <c r="F159" s="678"/>
    </row>
    <row r="160" spans="1:7" x14ac:dyDescent="0.25">
      <c r="A160" s="11"/>
      <c r="B160" s="11"/>
      <c r="C160" s="11"/>
      <c r="D160" s="11"/>
      <c r="E160" s="11"/>
      <c r="F160" s="96">
        <f>D43</f>
        <v>0.36899999999999999</v>
      </c>
    </row>
    <row r="161" spans="1:10" ht="31.5" customHeight="1" x14ac:dyDescent="0.25">
      <c r="A161" s="285" t="s">
        <v>0</v>
      </c>
      <c r="B161" s="563" t="s">
        <v>1</v>
      </c>
      <c r="C161" s="302"/>
      <c r="D161" s="563" t="s">
        <v>2</v>
      </c>
      <c r="E161" s="555" t="s">
        <v>3</v>
      </c>
      <c r="F161" s="556"/>
      <c r="G161" s="564" t="s">
        <v>35</v>
      </c>
      <c r="H161" s="302" t="s">
        <v>5</v>
      </c>
      <c r="I161" s="563" t="s">
        <v>6</v>
      </c>
    </row>
    <row r="162" spans="1:10" ht="30" x14ac:dyDescent="0.25">
      <c r="A162" s="368"/>
      <c r="B162" s="563"/>
      <c r="C162" s="302"/>
      <c r="D162" s="563"/>
      <c r="E162" s="302" t="s">
        <v>299</v>
      </c>
      <c r="F162" s="302" t="s">
        <v>237</v>
      </c>
      <c r="G162" s="564"/>
      <c r="H162" s="302" t="s">
        <v>49</v>
      </c>
      <c r="I162" s="563"/>
    </row>
    <row r="163" spans="1:10" x14ac:dyDescent="0.25">
      <c r="A163" s="369"/>
      <c r="B163" s="563"/>
      <c r="C163" s="302"/>
      <c r="D163" s="563"/>
      <c r="E163" s="302" t="s">
        <v>4</v>
      </c>
      <c r="F163" s="53"/>
      <c r="G163" s="564"/>
      <c r="H163" s="302" t="s">
        <v>266</v>
      </c>
      <c r="I163" s="563"/>
    </row>
    <row r="164" spans="1:10" x14ac:dyDescent="0.25">
      <c r="A164" s="669">
        <v>1</v>
      </c>
      <c r="B164" s="563">
        <v>2</v>
      </c>
      <c r="C164" s="302"/>
      <c r="D164" s="563">
        <v>3</v>
      </c>
      <c r="E164" s="563" t="s">
        <v>265</v>
      </c>
      <c r="F164" s="563">
        <v>5</v>
      </c>
      <c r="G164" s="564" t="s">
        <v>7</v>
      </c>
      <c r="H164" s="302" t="s">
        <v>50</v>
      </c>
      <c r="I164" s="563" t="s">
        <v>51</v>
      </c>
    </row>
    <row r="165" spans="1:10" x14ac:dyDescent="0.25">
      <c r="A165" s="669"/>
      <c r="B165" s="563"/>
      <c r="C165" s="302"/>
      <c r="D165" s="563"/>
      <c r="E165" s="563"/>
      <c r="F165" s="563"/>
      <c r="G165" s="564"/>
      <c r="H165" s="54">
        <v>1774.4</v>
      </c>
      <c r="I165" s="563"/>
    </row>
    <row r="166" spans="1:10" x14ac:dyDescent="0.25">
      <c r="A166" s="370" t="str">
        <f>'инновации+добровольчество0,369'!A147</f>
        <v>Заведующий МЦ</v>
      </c>
      <c r="B166" s="88">
        <f>'таланты+инициативы0,262'!B141</f>
        <v>82921.14</v>
      </c>
      <c r="C166" s="88"/>
      <c r="D166" s="302">
        <f>1*F160</f>
        <v>0.36899999999999999</v>
      </c>
      <c r="E166" s="56">
        <f>D166*1774.4</f>
        <v>654.75360000000001</v>
      </c>
      <c r="F166" s="57">
        <v>1</v>
      </c>
      <c r="G166" s="58">
        <f>E166/F166</f>
        <v>654.75360000000001</v>
      </c>
      <c r="H166" s="56">
        <f>B166*1.302/1774.4*12</f>
        <v>730.13970432822362</v>
      </c>
      <c r="I166" s="56">
        <f>G166*H166</f>
        <v>478061.59991183999</v>
      </c>
    </row>
    <row r="167" spans="1:10" x14ac:dyDescent="0.25">
      <c r="A167" s="370" t="str">
        <f>'инновации+добровольчество0,369'!A148</f>
        <v>Водитель</v>
      </c>
      <c r="B167" s="88">
        <f>'таланты+инициативы0,262'!B142</f>
        <v>29422</v>
      </c>
      <c r="C167" s="172"/>
      <c r="D167" s="302">
        <f>1*F160</f>
        <v>0.36899999999999999</v>
      </c>
      <c r="E167" s="56">
        <f>D167*1774.4</f>
        <v>654.75360000000001</v>
      </c>
      <c r="F167" s="57">
        <v>1</v>
      </c>
      <c r="G167" s="58">
        <f t="shared" ref="G167:G169" si="3">E167/F167</f>
        <v>654.75360000000001</v>
      </c>
      <c r="H167" s="56">
        <f>B167*1.302/1774.4*12</f>
        <v>259.06747520288548</v>
      </c>
      <c r="I167" s="56">
        <f>G167*H167</f>
        <v>169625.362032</v>
      </c>
    </row>
    <row r="168" spans="1:10" x14ac:dyDescent="0.25">
      <c r="A168" s="370" t="str">
        <f>'инновации+добровольчество0,369'!A149</f>
        <v>Рабочий по обслуживанию здания</v>
      </c>
      <c r="B168" s="88">
        <f>'таланты+инициативы0,262'!B143</f>
        <v>29422</v>
      </c>
      <c r="C168" s="58"/>
      <c r="D168" s="302">
        <f>0.5*F160</f>
        <v>0.1845</v>
      </c>
      <c r="E168" s="56">
        <f>D168*1774.4</f>
        <v>327.3768</v>
      </c>
      <c r="F168" s="57">
        <v>1</v>
      </c>
      <c r="G168" s="58">
        <f t="shared" si="3"/>
        <v>327.3768</v>
      </c>
      <c r="H168" s="56">
        <f>B168*1.302/1774.4*12</f>
        <v>259.06747520288548</v>
      </c>
      <c r="I168" s="56">
        <f>G168*H168</f>
        <v>84812.681016000002</v>
      </c>
    </row>
    <row r="169" spans="1:10" x14ac:dyDescent="0.25">
      <c r="A169" s="370" t="str">
        <f>'инновации+добровольчество0,369'!A150</f>
        <v>Уборщик служебных помещений</v>
      </c>
      <c r="B169" s="88">
        <f>'таланты+инициативы0,262'!B144</f>
        <v>29422</v>
      </c>
      <c r="C169" s="304"/>
      <c r="D169" s="302">
        <f>1*F160</f>
        <v>0.36899999999999999</v>
      </c>
      <c r="E169" s="56">
        <f>D169*1774.4</f>
        <v>654.75360000000001</v>
      </c>
      <c r="F169" s="57">
        <v>1</v>
      </c>
      <c r="G169" s="58">
        <f t="shared" si="3"/>
        <v>654.75360000000001</v>
      </c>
      <c r="H169" s="56">
        <f>B169*1.302/1774.4*12</f>
        <v>259.06747520288548</v>
      </c>
      <c r="I169" s="56">
        <f>G169*H169</f>
        <v>169625.362032</v>
      </c>
      <c r="J169" s="168"/>
    </row>
    <row r="170" spans="1:10" x14ac:dyDescent="0.25">
      <c r="A170" s="679" t="s">
        <v>28</v>
      </c>
      <c r="B170" s="680"/>
      <c r="C170" s="680"/>
      <c r="D170" s="680"/>
      <c r="E170" s="680"/>
      <c r="F170" s="681"/>
      <c r="G170" s="327"/>
      <c r="H170" s="327"/>
      <c r="I170" s="367">
        <f>SUM(I166:I169)</f>
        <v>902125.00499183999</v>
      </c>
    </row>
    <row r="171" spans="1:10" ht="12.75" customHeight="1" x14ac:dyDescent="0.25">
      <c r="A171" s="371"/>
      <c r="B171" s="371"/>
      <c r="C171" s="371"/>
      <c r="D171" s="372"/>
      <c r="E171" s="372"/>
      <c r="F171" s="372"/>
      <c r="G171" s="372"/>
      <c r="H171" s="372"/>
      <c r="I171" s="373"/>
    </row>
    <row r="172" spans="1:10" s="45" customFormat="1" ht="12.75" customHeight="1" x14ac:dyDescent="0.25">
      <c r="A172" s="617" t="s">
        <v>303</v>
      </c>
      <c r="B172" s="617"/>
      <c r="C172" s="617"/>
      <c r="D172" s="557"/>
      <c r="E172" s="557"/>
      <c r="F172" s="557"/>
      <c r="G172" s="557"/>
      <c r="H172" s="557"/>
    </row>
    <row r="173" spans="1:10" s="45" customFormat="1" ht="12.75" customHeight="1" x14ac:dyDescent="0.25">
      <c r="A173" s="566" t="s">
        <v>58</v>
      </c>
      <c r="B173" s="569" t="s">
        <v>153</v>
      </c>
      <c r="C173" s="570"/>
      <c r="D173" s="575"/>
      <c r="E173" s="576"/>
      <c r="F173" s="577"/>
      <c r="G173" s="213"/>
      <c r="H173" s="213"/>
    </row>
    <row r="174" spans="1:10" s="45" customFormat="1" ht="12.75" customHeight="1" x14ac:dyDescent="0.25">
      <c r="A174" s="567"/>
      <c r="B174" s="571"/>
      <c r="C174" s="572"/>
      <c r="D174" s="578" t="s">
        <v>157</v>
      </c>
      <c r="E174" s="567" t="s">
        <v>163</v>
      </c>
      <c r="F174" s="567" t="s">
        <v>6</v>
      </c>
    </row>
    <row r="175" spans="1:10" s="45" customFormat="1" ht="12.75" customHeight="1" x14ac:dyDescent="0.25">
      <c r="A175" s="568"/>
      <c r="B175" s="573"/>
      <c r="C175" s="574"/>
      <c r="D175" s="579"/>
      <c r="E175" s="568"/>
      <c r="F175" s="568"/>
    </row>
    <row r="176" spans="1:10" s="45" customFormat="1" ht="12.75" customHeight="1" x14ac:dyDescent="0.25">
      <c r="A176" s="292">
        <v>1</v>
      </c>
      <c r="B176" s="580">
        <v>2</v>
      </c>
      <c r="C176" s="581"/>
      <c r="D176" s="292">
        <v>5</v>
      </c>
      <c r="E176" s="292">
        <v>6</v>
      </c>
      <c r="F176" s="292">
        <v>7</v>
      </c>
    </row>
    <row r="177" spans="1:8" s="45" customFormat="1" ht="12.75" customHeight="1" x14ac:dyDescent="0.25">
      <c r="A177" s="290" t="s">
        <v>160</v>
      </c>
      <c r="B177" s="292">
        <f>F194</f>
        <v>0.36899999999999999</v>
      </c>
      <c r="C177" s="291"/>
      <c r="D177" s="151">
        <f>'инновации+добровольчество0,369'!D159</f>
        <v>8780.94</v>
      </c>
      <c r="E177" s="184">
        <f t="shared" ref="E177:E179" si="4">D177*30.2%</f>
        <v>2651.8438799999999</v>
      </c>
      <c r="F177" s="184">
        <f>(D177+E177)*0.369</f>
        <v>4218.6972517200002</v>
      </c>
    </row>
    <row r="178" spans="1:8" s="45" customFormat="1" ht="12.75" customHeight="1" x14ac:dyDescent="0.25">
      <c r="A178" s="290" t="s">
        <v>161</v>
      </c>
      <c r="B178" s="292">
        <f>0.5*F160</f>
        <v>0.1845</v>
      </c>
      <c r="C178" s="291"/>
      <c r="D178" s="151">
        <f>'инновации+добровольчество0,369'!D160</f>
        <v>18467.580000000002</v>
      </c>
      <c r="E178" s="184">
        <f t="shared" si="4"/>
        <v>5577.2091600000003</v>
      </c>
      <c r="F178" s="184">
        <f t="shared" ref="F178:F179" si="5">(D178+E178)*0.369</f>
        <v>8872.52720004</v>
      </c>
    </row>
    <row r="179" spans="1:8" s="45" customFormat="1" ht="12.75" customHeight="1" x14ac:dyDescent="0.25">
      <c r="A179" s="290" t="s">
        <v>140</v>
      </c>
      <c r="B179" s="292">
        <f>1*F160</f>
        <v>0.36899999999999999</v>
      </c>
      <c r="C179" s="291"/>
      <c r="D179" s="151">
        <f>'инновации+добровольчество0,369'!D161</f>
        <v>18474.88</v>
      </c>
      <c r="E179" s="184">
        <f t="shared" si="4"/>
        <v>5579.4137600000004</v>
      </c>
      <c r="F179" s="184">
        <f t="shared" si="5"/>
        <v>8876.0343974400002</v>
      </c>
    </row>
    <row r="180" spans="1:8" s="45" customFormat="1" ht="12.75" customHeight="1" x14ac:dyDescent="0.25">
      <c r="A180" s="154"/>
      <c r="B180" s="288"/>
      <c r="C180" s="155"/>
      <c r="D180" s="128"/>
      <c r="E180" s="128"/>
      <c r="F180" s="267">
        <f>SUM(F177:F179)-0.14</f>
        <v>21967.1188492</v>
      </c>
    </row>
    <row r="181" spans="1:8" s="45" customFormat="1" ht="12.75" hidden="1" customHeight="1" x14ac:dyDescent="0.25">
      <c r="A181" s="617" t="s">
        <v>165</v>
      </c>
      <c r="B181" s="617"/>
      <c r="C181" s="617"/>
      <c r="D181" s="617"/>
      <c r="E181" s="617"/>
      <c r="F181" s="617"/>
      <c r="G181" s="617"/>
      <c r="H181" s="617"/>
    </row>
    <row r="182" spans="1:8" s="45" customFormat="1" ht="12.75" hidden="1" customHeight="1" x14ac:dyDescent="0.25">
      <c r="A182" s="566" t="s">
        <v>58</v>
      </c>
      <c r="B182" s="569" t="s">
        <v>153</v>
      </c>
      <c r="C182" s="688"/>
      <c r="D182" s="580" t="s">
        <v>154</v>
      </c>
      <c r="E182" s="684"/>
      <c r="F182" s="684"/>
      <c r="G182" s="684"/>
      <c r="H182" s="581"/>
    </row>
    <row r="183" spans="1:8" s="45" customFormat="1" ht="12.75" hidden="1" customHeight="1" x14ac:dyDescent="0.25">
      <c r="A183" s="567"/>
      <c r="B183" s="571"/>
      <c r="C183" s="572"/>
      <c r="D183" s="597" t="s">
        <v>155</v>
      </c>
      <c r="E183" s="566" t="s">
        <v>156</v>
      </c>
      <c r="F183" s="682" t="s">
        <v>157</v>
      </c>
      <c r="G183" s="566" t="s">
        <v>163</v>
      </c>
      <c r="H183" s="566" t="s">
        <v>6</v>
      </c>
    </row>
    <row r="184" spans="1:8" s="45" customFormat="1" ht="12.75" hidden="1" customHeight="1" x14ac:dyDescent="0.25">
      <c r="A184" s="568"/>
      <c r="B184" s="573"/>
      <c r="C184" s="574"/>
      <c r="D184" s="683"/>
      <c r="E184" s="568"/>
      <c r="F184" s="579"/>
      <c r="G184" s="568"/>
      <c r="H184" s="568"/>
    </row>
    <row r="185" spans="1:8" s="45" customFormat="1" ht="12.75" hidden="1" customHeight="1" x14ac:dyDescent="0.25">
      <c r="A185" s="292">
        <v>1</v>
      </c>
      <c r="B185" s="580">
        <v>2</v>
      </c>
      <c r="C185" s="581"/>
      <c r="D185" s="292">
        <v>3</v>
      </c>
      <c r="E185" s="292">
        <v>4</v>
      </c>
      <c r="F185" s="292">
        <v>5</v>
      </c>
      <c r="G185" s="292">
        <v>6</v>
      </c>
      <c r="H185" s="292">
        <v>7</v>
      </c>
    </row>
    <row r="186" spans="1:8" s="45" customFormat="1" ht="12.75" hidden="1" customHeight="1" x14ac:dyDescent="0.25">
      <c r="A186" s="290" t="s">
        <v>158</v>
      </c>
      <c r="B186" s="292">
        <v>0.39300000000000002</v>
      </c>
      <c r="C186" s="291">
        <v>1</v>
      </c>
      <c r="D186" s="151">
        <v>30497.8</v>
      </c>
      <c r="E186" s="112">
        <v>41441.4</v>
      </c>
      <c r="F186" s="151">
        <f>30497.8*0.393</f>
        <v>11985.635400000001</v>
      </c>
      <c r="G186" s="184">
        <f>F186*30.2%</f>
        <v>3619.6618908</v>
      </c>
      <c r="H186" s="184">
        <f>F186+G186</f>
        <v>15605.297290800001</v>
      </c>
    </row>
    <row r="187" spans="1:8" s="45" customFormat="1" ht="12.75" hidden="1" customHeight="1" x14ac:dyDescent="0.25">
      <c r="A187" s="290" t="s">
        <v>160</v>
      </c>
      <c r="B187" s="292">
        <f>1*0.393</f>
        <v>0.39300000000000002</v>
      </c>
      <c r="C187" s="291"/>
      <c r="D187" s="151">
        <v>8353.5499999999993</v>
      </c>
      <c r="E187" s="112">
        <v>11244.72</v>
      </c>
      <c r="F187" s="151">
        <f>8353.55*0.393</f>
        <v>3282.94515</v>
      </c>
      <c r="G187" s="184">
        <f>F187*30.2%</f>
        <v>991.4494353</v>
      </c>
      <c r="H187" s="184">
        <f>F187+G187</f>
        <v>4274.3945853000005</v>
      </c>
    </row>
    <row r="188" spans="1:8" s="45" customFormat="1" ht="12.75" hidden="1" customHeight="1" x14ac:dyDescent="0.25">
      <c r="A188" s="290" t="s">
        <v>161</v>
      </c>
      <c r="B188" s="292">
        <f>0.5*0.393</f>
        <v>0.19650000000000001</v>
      </c>
      <c r="C188" s="291"/>
      <c r="D188" s="151">
        <v>3761.62</v>
      </c>
      <c r="E188" s="112">
        <v>4983</v>
      </c>
      <c r="F188" s="151">
        <f>3761.62*0.393</f>
        <v>1478.31666</v>
      </c>
      <c r="G188" s="184">
        <f>F188*30.2%</f>
        <v>446.45163131999999</v>
      </c>
      <c r="H188" s="184">
        <f>F188+G188</f>
        <v>1924.7682913199999</v>
      </c>
    </row>
    <row r="189" spans="1:8" s="45" customFormat="1" ht="12.75" hidden="1" customHeight="1" x14ac:dyDescent="0.25">
      <c r="A189" s="290" t="s">
        <v>140</v>
      </c>
      <c r="B189" s="292">
        <f>1*0.393</f>
        <v>0.39300000000000002</v>
      </c>
      <c r="C189" s="291"/>
      <c r="D189" s="151">
        <v>6266.1</v>
      </c>
      <c r="E189" s="112">
        <v>8398.2000000000007</v>
      </c>
      <c r="F189" s="151">
        <f>6266.1*0.393</f>
        <v>2462.5773000000004</v>
      </c>
      <c r="G189" s="184">
        <f>F189*30.2%</f>
        <v>743.69834460000004</v>
      </c>
      <c r="H189" s="184">
        <f>F189+G189</f>
        <v>3206.2756446000003</v>
      </c>
    </row>
    <row r="190" spans="1:8" s="45" customFormat="1" ht="12.75" hidden="1" customHeight="1" x14ac:dyDescent="0.25">
      <c r="A190" s="290" t="s">
        <v>162</v>
      </c>
      <c r="B190" s="292">
        <f>3*0.393</f>
        <v>1.179</v>
      </c>
      <c r="C190" s="291"/>
      <c r="D190" s="151">
        <v>20749.32</v>
      </c>
      <c r="E190" s="112">
        <v>28148.04</v>
      </c>
      <c r="F190" s="151">
        <f>20749.32*0.393</f>
        <v>8154.4827599999999</v>
      </c>
      <c r="G190" s="184">
        <f>F190*30.2%</f>
        <v>2462.6537935199999</v>
      </c>
      <c r="H190" s="184">
        <f>F190+G190</f>
        <v>10617.13655352</v>
      </c>
    </row>
    <row r="191" spans="1:8" s="45" customFormat="1" ht="12.75" hidden="1" customHeight="1" x14ac:dyDescent="0.25">
      <c r="A191" s="154"/>
      <c r="B191" s="288"/>
      <c r="C191" s="155"/>
      <c r="D191" s="128">
        <f>SUM(D186:D190)</f>
        <v>69628.39</v>
      </c>
      <c r="E191" s="128">
        <f>SUM(E186:E190)</f>
        <v>94215.360000000015</v>
      </c>
      <c r="F191" s="128">
        <f>SUM(F186:F190)</f>
        <v>27363.957269999999</v>
      </c>
      <c r="G191" s="128">
        <f>SUM(G186:G190)</f>
        <v>8263.91509554</v>
      </c>
      <c r="H191" s="224"/>
    </row>
    <row r="192" spans="1:8" s="45" customFormat="1" ht="12.75" hidden="1" customHeight="1" x14ac:dyDescent="0.25">
      <c r="A192" s="377"/>
      <c r="B192" s="378"/>
      <c r="C192" s="378"/>
      <c r="D192" s="379"/>
      <c r="E192" s="379"/>
      <c r="F192" s="379"/>
      <c r="G192" s="212"/>
      <c r="H192" s="214"/>
    </row>
    <row r="193" spans="1:8" ht="15.6" customHeight="1" x14ac:dyDescent="0.25">
      <c r="A193" s="561" t="s">
        <v>12</v>
      </c>
      <c r="B193" s="561"/>
      <c r="C193" s="561"/>
      <c r="D193" s="561"/>
      <c r="E193" s="561"/>
      <c r="F193" s="561"/>
      <c r="H193" s="168"/>
    </row>
    <row r="194" spans="1:8" x14ac:dyDescent="0.25">
      <c r="A194" s="162"/>
      <c r="B194" s="162"/>
      <c r="C194" s="162"/>
      <c r="D194" s="162"/>
      <c r="E194" s="162"/>
      <c r="F194" s="163">
        <f>F160</f>
        <v>0.36899999999999999</v>
      </c>
    </row>
    <row r="195" spans="1:8" ht="15.75" customHeight="1" x14ac:dyDescent="0.25">
      <c r="A195" s="669" t="s">
        <v>13</v>
      </c>
      <c r="B195" s="669" t="s">
        <v>11</v>
      </c>
      <c r="C195" s="331"/>
      <c r="D195" s="669" t="s">
        <v>14</v>
      </c>
      <c r="E195" s="669" t="s">
        <v>15</v>
      </c>
      <c r="F195" s="689" t="s">
        <v>6</v>
      </c>
    </row>
    <row r="196" spans="1:8" x14ac:dyDescent="0.25">
      <c r="A196" s="669"/>
      <c r="B196" s="669"/>
      <c r="C196" s="331"/>
      <c r="D196" s="669"/>
      <c r="E196" s="669"/>
      <c r="F196" s="690"/>
    </row>
    <row r="197" spans="1:8" x14ac:dyDescent="0.25">
      <c r="A197" s="283">
        <v>1</v>
      </c>
      <c r="B197" s="283">
        <v>2</v>
      </c>
      <c r="C197" s="283"/>
      <c r="D197" s="283">
        <v>3</v>
      </c>
      <c r="E197" s="283">
        <v>4</v>
      </c>
      <c r="F197" s="283" t="s">
        <v>172</v>
      </c>
    </row>
    <row r="198" spans="1:8" x14ac:dyDescent="0.25">
      <c r="A198" s="399" t="s">
        <v>17</v>
      </c>
      <c r="B198" s="331" t="s">
        <v>18</v>
      </c>
      <c r="C198" s="331"/>
      <c r="D198" s="77">
        <f>55*F194</f>
        <v>20.294999999999998</v>
      </c>
      <c r="E198" s="409">
        <f>'таланты+инициативы0,262'!E153</f>
        <v>3386.32</v>
      </c>
      <c r="F198" s="77">
        <f>D198*E198</f>
        <v>68725.364399999991</v>
      </c>
    </row>
    <row r="199" spans="1:8" ht="18.75" x14ac:dyDescent="0.25">
      <c r="A199" s="399" t="s">
        <v>245</v>
      </c>
      <c r="B199" s="331" t="s">
        <v>191</v>
      </c>
      <c r="C199" s="331"/>
      <c r="D199" s="331">
        <f>106.3*F194</f>
        <v>39.224699999999999</v>
      </c>
      <c r="E199" s="409">
        <f>'таланты+инициативы0,262'!E154</f>
        <v>60.95</v>
      </c>
      <c r="F199" s="77">
        <f>D199*E199</f>
        <v>2390.745465</v>
      </c>
    </row>
    <row r="200" spans="1:8" ht="18.75" x14ac:dyDescent="0.25">
      <c r="A200" s="399" t="s">
        <v>246</v>
      </c>
      <c r="B200" s="331" t="s">
        <v>52</v>
      </c>
      <c r="C200" s="331"/>
      <c r="D200" s="331">
        <f>2*F194</f>
        <v>0.73799999999999999</v>
      </c>
      <c r="E200" s="409">
        <f>'таланты+инициативы0,262'!E155</f>
        <v>10000</v>
      </c>
      <c r="F200" s="77">
        <f t="shared" ref="F200:F204" si="6">D200*E200</f>
        <v>7380</v>
      </c>
    </row>
    <row r="201" spans="1:8" x14ac:dyDescent="0.25">
      <c r="A201" s="399" t="s">
        <v>16</v>
      </c>
      <c r="B201" s="331" t="s">
        <v>81</v>
      </c>
      <c r="C201" s="331"/>
      <c r="D201" s="98">
        <f>6*F194</f>
        <v>2.214</v>
      </c>
      <c r="E201" s="409">
        <f>'таланты+инициативы0,262'!E156</f>
        <v>7224.49</v>
      </c>
      <c r="F201" s="77">
        <f t="shared" si="6"/>
        <v>15995.020859999999</v>
      </c>
    </row>
    <row r="202" spans="1:8" x14ac:dyDescent="0.25">
      <c r="A202" s="399" t="s">
        <v>202</v>
      </c>
      <c r="B202" s="309" t="s">
        <v>22</v>
      </c>
      <c r="C202" s="292"/>
      <c r="D202" s="169">
        <f>9*F194</f>
        <v>3.3209999999999997</v>
      </c>
      <c r="E202" s="409">
        <f>'таланты+инициативы0,262'!E157</f>
        <v>2134.85</v>
      </c>
      <c r="F202" s="77">
        <f t="shared" si="6"/>
        <v>7089.8368499999988</v>
      </c>
    </row>
    <row r="203" spans="1:8" x14ac:dyDescent="0.25">
      <c r="A203" s="399" t="s">
        <v>247</v>
      </c>
      <c r="B203" s="331" t="s">
        <v>81</v>
      </c>
      <c r="C203" s="292"/>
      <c r="D203" s="169">
        <f>1*F194</f>
        <v>0.36899999999999999</v>
      </c>
      <c r="E203" s="409">
        <f>'таланты+инициативы0,262'!E158</f>
        <v>7827.32</v>
      </c>
      <c r="F203" s="77">
        <f t="shared" si="6"/>
        <v>2888.2810799999997</v>
      </c>
    </row>
    <row r="204" spans="1:8" x14ac:dyDescent="0.25">
      <c r="A204" s="502" t="str">
        <f>A200</f>
        <v>Водоотведение (септик)</v>
      </c>
      <c r="B204" s="463" t="str">
        <f>B200</f>
        <v>м3</v>
      </c>
      <c r="C204" s="461"/>
      <c r="D204" s="457">
        <v>0.36899999999999999</v>
      </c>
      <c r="E204" s="503">
        <v>6000</v>
      </c>
      <c r="F204" s="77">
        <f t="shared" si="6"/>
        <v>2214</v>
      </c>
    </row>
    <row r="205" spans="1:8" ht="18.75" x14ac:dyDescent="0.25">
      <c r="A205" s="696"/>
      <c r="B205" s="696"/>
      <c r="C205" s="696"/>
      <c r="D205" s="696"/>
      <c r="E205" s="696"/>
      <c r="F205" s="376">
        <f>SUM(F198:F204)</f>
        <v>106683.24865499999</v>
      </c>
    </row>
    <row r="206" spans="1:8" x14ac:dyDescent="0.25">
      <c r="A206" s="96"/>
      <c r="B206" s="96"/>
      <c r="C206" s="96"/>
      <c r="D206" s="96"/>
      <c r="E206" s="96"/>
      <c r="F206" s="97"/>
    </row>
    <row r="207" spans="1:8" x14ac:dyDescent="0.25">
      <c r="A207" s="687" t="s">
        <v>108</v>
      </c>
      <c r="B207" s="687"/>
      <c r="C207" s="687"/>
      <c r="D207" s="687"/>
      <c r="E207" s="687"/>
      <c r="F207" s="687"/>
      <c r="G207" s="186"/>
    </row>
    <row r="208" spans="1:8" ht="25.5" x14ac:dyDescent="0.25">
      <c r="A208" s="290" t="s">
        <v>109</v>
      </c>
      <c r="B208" s="292" t="s">
        <v>110</v>
      </c>
      <c r="C208" s="316"/>
      <c r="D208" s="292" t="s">
        <v>114</v>
      </c>
      <c r="E208" s="292" t="s">
        <v>111</v>
      </c>
      <c r="F208" s="292" t="s">
        <v>112</v>
      </c>
      <c r="G208" s="305" t="s">
        <v>6</v>
      </c>
    </row>
    <row r="209" spans="1:7" x14ac:dyDescent="0.25">
      <c r="A209" s="290">
        <v>1</v>
      </c>
      <c r="B209" s="292">
        <v>2</v>
      </c>
      <c r="C209" s="316"/>
      <c r="D209" s="292">
        <v>3</v>
      </c>
      <c r="E209" s="292">
        <v>4</v>
      </c>
      <c r="F209" s="292">
        <v>5</v>
      </c>
      <c r="G209" s="339" t="s">
        <v>300</v>
      </c>
    </row>
    <row r="210" spans="1:7" x14ac:dyDescent="0.25">
      <c r="A210" s="292" t="s">
        <v>113</v>
      </c>
      <c r="B210" s="292">
        <v>1</v>
      </c>
      <c r="C210" s="292">
        <f>'инновации+добровольчество0,369'!C167</f>
        <v>0</v>
      </c>
      <c r="D210" s="292">
        <f>'инновации+добровольчество0,369'!D167</f>
        <v>12</v>
      </c>
      <c r="E210" s="292">
        <f>'инновации+добровольчество0,369'!E167</f>
        <v>75</v>
      </c>
      <c r="F210" s="112">
        <v>900</v>
      </c>
      <c r="G210" s="165">
        <f>F210*D217</f>
        <v>332.1</v>
      </c>
    </row>
    <row r="211" spans="1:7" ht="18.75" x14ac:dyDescent="0.25">
      <c r="A211" s="127"/>
      <c r="B211" s="127"/>
      <c r="C211" s="127"/>
      <c r="D211" s="127"/>
      <c r="E211" s="288" t="s">
        <v>86</v>
      </c>
      <c r="F211" s="128"/>
      <c r="G211" s="271">
        <f>G210</f>
        <v>332.1</v>
      </c>
    </row>
    <row r="212" spans="1:7" x14ac:dyDescent="0.25">
      <c r="A212" s="96"/>
      <c r="B212" s="96"/>
      <c r="C212" s="96"/>
      <c r="D212" s="96"/>
      <c r="E212" s="96"/>
      <c r="F212" s="97"/>
    </row>
    <row r="213" spans="1:7" x14ac:dyDescent="0.25">
      <c r="A213" s="96"/>
      <c r="B213" s="96"/>
      <c r="C213" s="96"/>
      <c r="D213" s="96"/>
      <c r="E213" s="96"/>
      <c r="F213" s="97"/>
    </row>
    <row r="214" spans="1:7" x14ac:dyDescent="0.25">
      <c r="A214" s="96"/>
      <c r="B214" s="96"/>
      <c r="C214" s="96"/>
      <c r="D214" s="96"/>
      <c r="E214" s="96"/>
      <c r="F214" s="97"/>
    </row>
    <row r="215" spans="1:7" x14ac:dyDescent="0.25">
      <c r="A215" s="697" t="s">
        <v>243</v>
      </c>
      <c r="B215" s="697"/>
      <c r="C215" s="697"/>
      <c r="D215" s="697"/>
      <c r="E215" s="697"/>
      <c r="F215" s="697"/>
    </row>
    <row r="216" spans="1:7" x14ac:dyDescent="0.25">
      <c r="A216" s="330" t="s">
        <v>79</v>
      </c>
      <c r="B216" s="6" t="s">
        <v>241</v>
      </c>
      <c r="C216" s="6"/>
      <c r="D216" s="6"/>
    </row>
    <row r="217" spans="1:7" x14ac:dyDescent="0.25">
      <c r="D217" s="159">
        <f>F194</f>
        <v>0.36899999999999999</v>
      </c>
    </row>
    <row r="218" spans="1:7" ht="13.15" customHeight="1" x14ac:dyDescent="0.25">
      <c r="A218" s="670" t="s">
        <v>27</v>
      </c>
      <c r="B218" s="670"/>
      <c r="C218" s="321"/>
      <c r="D218" s="670" t="s">
        <v>11</v>
      </c>
      <c r="E218" s="321" t="s">
        <v>46</v>
      </c>
      <c r="F218" s="321" t="s">
        <v>15</v>
      </c>
      <c r="G218" s="685" t="s">
        <v>6</v>
      </c>
    </row>
    <row r="219" spans="1:7" x14ac:dyDescent="0.25">
      <c r="A219" s="670"/>
      <c r="B219" s="670"/>
      <c r="C219" s="321"/>
      <c r="D219" s="670"/>
      <c r="E219" s="321"/>
      <c r="F219" s="321"/>
      <c r="G219" s="686"/>
    </row>
    <row r="220" spans="1:7" x14ac:dyDescent="0.25">
      <c r="A220" s="671">
        <v>1</v>
      </c>
      <c r="B220" s="672"/>
      <c r="C220" s="322"/>
      <c r="D220" s="321">
        <v>2</v>
      </c>
      <c r="E220" s="321">
        <v>3</v>
      </c>
      <c r="F220" s="321">
        <v>4</v>
      </c>
      <c r="G220" s="78" t="s">
        <v>66</v>
      </c>
    </row>
    <row r="221" spans="1:7" ht="16.5" thickBot="1" x14ac:dyDescent="0.3">
      <c r="A221" s="673" t="str">
        <f>A46</f>
        <v>Суточные</v>
      </c>
      <c r="B221" s="674"/>
      <c r="C221" s="324"/>
      <c r="D221" s="321" t="str">
        <f>D46</f>
        <v>сутки</v>
      </c>
      <c r="E221" s="228">
        <f>19*D217*4</f>
        <v>28.044</v>
      </c>
      <c r="F221" s="435">
        <v>450</v>
      </c>
      <c r="G221" s="82">
        <f>E221*F221</f>
        <v>12619.800000000001</v>
      </c>
    </row>
    <row r="222" spans="1:7" ht="16.5" thickBot="1" x14ac:dyDescent="0.3">
      <c r="A222" s="673" t="str">
        <f>A47</f>
        <v>Проезд</v>
      </c>
      <c r="B222" s="674"/>
      <c r="C222" s="324"/>
      <c r="D222" s="321" t="str">
        <f>D47</f>
        <v xml:space="preserve">Ед. </v>
      </c>
      <c r="E222" s="228">
        <f>19*D217</f>
        <v>7.0110000000000001</v>
      </c>
      <c r="F222" s="435">
        <v>6000</v>
      </c>
      <c r="G222" s="82">
        <f>E222*F222</f>
        <v>42066</v>
      </c>
    </row>
    <row r="223" spans="1:7" ht="16.5" thickBot="1" x14ac:dyDescent="0.3">
      <c r="A223" s="673" t="str">
        <f>A48</f>
        <v xml:space="preserve">Проживание </v>
      </c>
      <c r="B223" s="674"/>
      <c r="C223" s="324"/>
      <c r="D223" s="321" t="str">
        <f>D48</f>
        <v>сутки</v>
      </c>
      <c r="E223" s="228">
        <f>19*3*D217</f>
        <v>21.033000000000001</v>
      </c>
      <c r="F223" s="435">
        <v>1610.52</v>
      </c>
      <c r="G223" s="82">
        <f>E223*F223</f>
        <v>33874.067159999999</v>
      </c>
    </row>
    <row r="224" spans="1:7" ht="18.75" x14ac:dyDescent="0.25">
      <c r="A224" s="703" t="s">
        <v>117</v>
      </c>
      <c r="B224" s="704"/>
      <c r="C224" s="332"/>
      <c r="D224" s="79"/>
      <c r="E224" s="83"/>
      <c r="F224" s="83"/>
      <c r="G224" s="261">
        <f>SUM(G221:G223)</f>
        <v>88559.867159999994</v>
      </c>
    </row>
    <row r="225" spans="1:7" x14ac:dyDescent="0.25">
      <c r="A225" s="693" t="s">
        <v>36</v>
      </c>
      <c r="B225" s="693"/>
      <c r="C225" s="693"/>
      <c r="D225" s="693"/>
      <c r="E225" s="693"/>
      <c r="F225" s="693"/>
    </row>
    <row r="226" spans="1:7" x14ac:dyDescent="0.25">
      <c r="D226" s="166">
        <f>D217</f>
        <v>0.36899999999999999</v>
      </c>
    </row>
    <row r="227" spans="1:7" x14ac:dyDescent="0.25">
      <c r="A227" s="670" t="s">
        <v>24</v>
      </c>
      <c r="B227" s="670" t="s">
        <v>11</v>
      </c>
      <c r="C227" s="321"/>
      <c r="D227" s="670" t="s">
        <v>46</v>
      </c>
      <c r="E227" s="670" t="s">
        <v>15</v>
      </c>
      <c r="F227" s="694" t="s">
        <v>175</v>
      </c>
      <c r="G227" s="685" t="s">
        <v>6</v>
      </c>
    </row>
    <row r="228" spans="1:7" x14ac:dyDescent="0.25">
      <c r="A228" s="670"/>
      <c r="B228" s="670"/>
      <c r="C228" s="321"/>
      <c r="D228" s="670"/>
      <c r="E228" s="670"/>
      <c r="F228" s="695"/>
      <c r="G228" s="686"/>
    </row>
    <row r="229" spans="1:7" ht="16.5" thickBot="1" x14ac:dyDescent="0.3">
      <c r="A229" s="321">
        <v>1</v>
      </c>
      <c r="B229" s="321">
        <v>2</v>
      </c>
      <c r="C229" s="321"/>
      <c r="D229" s="321">
        <v>3</v>
      </c>
      <c r="E229" s="321">
        <v>4</v>
      </c>
      <c r="F229" s="321">
        <v>5</v>
      </c>
      <c r="G229" s="78" t="s">
        <v>67</v>
      </c>
    </row>
    <row r="230" spans="1:7" x14ac:dyDescent="0.25">
      <c r="A230" s="55" t="str">
        <f>'инновации+добровольчество0,369'!A198</f>
        <v>переговоры по району, мин</v>
      </c>
      <c r="B230" s="302" t="s">
        <v>22</v>
      </c>
      <c r="C230" s="292"/>
      <c r="D230" s="383">
        <v>0</v>
      </c>
      <c r="E230" s="410">
        <v>6.6</v>
      </c>
      <c r="F230" s="302">
        <v>12</v>
      </c>
      <c r="G230" s="82">
        <f t="shared" ref="G230:G233" si="7">D230*E230*F230</f>
        <v>0</v>
      </c>
    </row>
    <row r="231" spans="1:7" x14ac:dyDescent="0.25">
      <c r="A231" s="55" t="str">
        <f>'инновации+добровольчество0,369'!A199</f>
        <v>Переговоры за пределами района,мин</v>
      </c>
      <c r="B231" s="302" t="s">
        <v>22</v>
      </c>
      <c r="C231" s="292"/>
      <c r="D231" s="380">
        <f>10.02*D226</f>
        <v>3.6973799999999999</v>
      </c>
      <c r="E231" s="375">
        <f>'таланты+инициативы0,262'!E182</f>
        <v>15</v>
      </c>
      <c r="F231" s="302">
        <v>12</v>
      </c>
      <c r="G231" s="82">
        <f t="shared" si="7"/>
        <v>665.52839999999992</v>
      </c>
    </row>
    <row r="232" spans="1:7" x14ac:dyDescent="0.25">
      <c r="A232" s="55" t="str">
        <f>'инновации+добровольчество0,369'!A200</f>
        <v>Абоненская плата за услуги связи, номеров</v>
      </c>
      <c r="B232" s="302" t="s">
        <v>22</v>
      </c>
      <c r="C232" s="292"/>
      <c r="D232" s="381">
        <f>1*D226</f>
        <v>0.36899999999999999</v>
      </c>
      <c r="E232" s="375">
        <f>'таланты+инициативы0,262'!E183</f>
        <v>2183</v>
      </c>
      <c r="F232" s="302">
        <v>12</v>
      </c>
      <c r="G232" s="82">
        <f t="shared" si="7"/>
        <v>9666.3240000000005</v>
      </c>
    </row>
    <row r="233" spans="1:7" x14ac:dyDescent="0.25">
      <c r="A233" s="55" t="str">
        <f>'инновации+добровольчество0,369'!A201</f>
        <v xml:space="preserve">Абоненская плата за услуги Интернет </v>
      </c>
      <c r="B233" s="302" t="s">
        <v>22</v>
      </c>
      <c r="C233" s="292"/>
      <c r="D233" s="381">
        <f>1*D226</f>
        <v>0.36899999999999999</v>
      </c>
      <c r="E233" s="375">
        <f>'таланты+инициативы0,262'!E184</f>
        <v>8166.67</v>
      </c>
      <c r="F233" s="302">
        <v>12</v>
      </c>
      <c r="G233" s="82">
        <f t="shared" si="7"/>
        <v>36162.014759999998</v>
      </c>
    </row>
    <row r="234" spans="1:7" x14ac:dyDescent="0.25">
      <c r="A234" s="55" t="str">
        <f>'инновации+добровольчество0,369'!A202</f>
        <v>Почтовые конверты</v>
      </c>
      <c r="B234" s="302" t="s">
        <v>82</v>
      </c>
      <c r="C234" s="292"/>
      <c r="D234" s="381">
        <f>5*D226</f>
        <v>1.845</v>
      </c>
      <c r="E234" s="375">
        <f>'таланты+инициативы0,262'!E185</f>
        <v>424</v>
      </c>
      <c r="F234" s="302">
        <v>1</v>
      </c>
      <c r="G234" s="82">
        <f>D234*E234*F234+0.13</f>
        <v>782.41</v>
      </c>
    </row>
    <row r="235" spans="1:7" ht="18.75" x14ac:dyDescent="0.3">
      <c r="A235" s="702" t="s">
        <v>26</v>
      </c>
      <c r="B235" s="702"/>
      <c r="C235" s="702"/>
      <c r="D235" s="702"/>
      <c r="E235" s="702"/>
      <c r="F235" s="702"/>
      <c r="G235" s="265">
        <f>SUM(G230:G234)</f>
        <v>47276.277159999998</v>
      </c>
    </row>
    <row r="236" spans="1:7" x14ac:dyDescent="0.25">
      <c r="A236" s="693" t="s">
        <v>53</v>
      </c>
      <c r="B236" s="693"/>
      <c r="C236" s="693"/>
      <c r="D236" s="693"/>
      <c r="E236" s="693"/>
      <c r="F236" s="693"/>
    </row>
    <row r="237" spans="1:7" x14ac:dyDescent="0.25">
      <c r="D237" s="166">
        <f>D226</f>
        <v>0.36899999999999999</v>
      </c>
    </row>
    <row r="238" spans="1:7" x14ac:dyDescent="0.25">
      <c r="A238" s="670" t="s">
        <v>192</v>
      </c>
      <c r="B238" s="670" t="s">
        <v>11</v>
      </c>
      <c r="C238" s="321"/>
      <c r="D238" s="670" t="s">
        <v>46</v>
      </c>
      <c r="E238" s="670" t="s">
        <v>15</v>
      </c>
      <c r="F238" s="694" t="s">
        <v>25</v>
      </c>
      <c r="G238" s="685" t="s">
        <v>6</v>
      </c>
    </row>
    <row r="239" spans="1:7" x14ac:dyDescent="0.25">
      <c r="A239" s="670"/>
      <c r="B239" s="670"/>
      <c r="C239" s="321"/>
      <c r="D239" s="670"/>
      <c r="E239" s="670"/>
      <c r="F239" s="695"/>
      <c r="G239" s="686"/>
    </row>
    <row r="240" spans="1:7" x14ac:dyDescent="0.25">
      <c r="A240" s="321">
        <v>1</v>
      </c>
      <c r="B240" s="321">
        <v>2</v>
      </c>
      <c r="C240" s="321"/>
      <c r="D240" s="321">
        <v>3</v>
      </c>
      <c r="E240" s="321">
        <v>4</v>
      </c>
      <c r="F240" s="321">
        <v>5</v>
      </c>
      <c r="G240" s="82" t="s">
        <v>68</v>
      </c>
    </row>
    <row r="241" spans="1:12" hidden="1" x14ac:dyDescent="0.25">
      <c r="A241" s="126" t="s">
        <v>203</v>
      </c>
      <c r="B241" s="302" t="s">
        <v>120</v>
      </c>
      <c r="C241" s="321"/>
      <c r="D241" s="321">
        <v>0</v>
      </c>
      <c r="E241" s="321">
        <f>'инновации+добровольчество0,369'!E209</f>
        <v>0</v>
      </c>
      <c r="F241" s="321">
        <v>1</v>
      </c>
      <c r="G241" s="82">
        <f>D241*E241*F241</f>
        <v>0</v>
      </c>
    </row>
    <row r="242" spans="1:12" x14ac:dyDescent="0.25">
      <c r="A242" s="73" t="s">
        <v>176</v>
      </c>
      <c r="B242" s="321" t="s">
        <v>22</v>
      </c>
      <c r="C242" s="321"/>
      <c r="D242" s="321">
        <f>1*D237</f>
        <v>0.36899999999999999</v>
      </c>
      <c r="E242" s="335">
        <v>20000</v>
      </c>
      <c r="F242" s="321">
        <v>1</v>
      </c>
      <c r="G242" s="82">
        <f>D242*E242*F242</f>
        <v>7380</v>
      </c>
    </row>
    <row r="243" spans="1:12" ht="18.75" x14ac:dyDescent="0.25">
      <c r="A243" s="702" t="s">
        <v>54</v>
      </c>
      <c r="B243" s="702"/>
      <c r="C243" s="702"/>
      <c r="D243" s="702"/>
      <c r="E243" s="702"/>
      <c r="F243" s="702"/>
      <c r="G243" s="261">
        <f>SUM(G241:G242)</f>
        <v>7380</v>
      </c>
    </row>
    <row r="244" spans="1:12" ht="18.75" x14ac:dyDescent="0.3">
      <c r="A244" s="693" t="s">
        <v>19</v>
      </c>
      <c r="B244" s="693"/>
      <c r="C244" s="693"/>
      <c r="D244" s="693"/>
      <c r="E244" s="693"/>
      <c r="F244" s="693"/>
      <c r="G244" s="187"/>
    </row>
    <row r="245" spans="1:12" x14ac:dyDescent="0.25">
      <c r="D245" s="166">
        <f>D237</f>
        <v>0.36899999999999999</v>
      </c>
      <c r="H245" s="6"/>
      <c r="I245" s="6"/>
      <c r="J245" s="6"/>
      <c r="K245" s="6"/>
      <c r="L245" s="6"/>
    </row>
    <row r="246" spans="1:12" ht="15.75" customHeight="1" x14ac:dyDescent="0.25">
      <c r="A246" s="670" t="s">
        <v>21</v>
      </c>
      <c r="B246" s="670" t="s">
        <v>11</v>
      </c>
      <c r="C246" s="321"/>
      <c r="D246" s="670" t="s">
        <v>14</v>
      </c>
      <c r="E246" s="670" t="s">
        <v>15</v>
      </c>
      <c r="F246" s="694" t="s">
        <v>6</v>
      </c>
      <c r="H246" s="6"/>
      <c r="I246" s="6"/>
      <c r="J246" s="6"/>
      <c r="K246" s="6"/>
      <c r="L246" s="6"/>
    </row>
    <row r="247" spans="1:12" x14ac:dyDescent="0.25">
      <c r="A247" s="670"/>
      <c r="B247" s="670"/>
      <c r="C247" s="321"/>
      <c r="D247" s="670"/>
      <c r="E247" s="670"/>
      <c r="F247" s="695"/>
      <c r="H247" s="6"/>
      <c r="I247" s="6"/>
      <c r="J247" s="6"/>
      <c r="K247" s="6"/>
      <c r="L247" s="6"/>
    </row>
    <row r="248" spans="1:12" x14ac:dyDescent="0.25">
      <c r="A248" s="321">
        <v>1</v>
      </c>
      <c r="B248" s="321">
        <v>2</v>
      </c>
      <c r="C248" s="321"/>
      <c r="D248" s="321">
        <v>3</v>
      </c>
      <c r="E248" s="321">
        <v>7</v>
      </c>
      <c r="F248" s="321" t="s">
        <v>173</v>
      </c>
      <c r="H248" s="6"/>
      <c r="I248" s="6"/>
      <c r="J248" s="6"/>
      <c r="K248" s="6"/>
      <c r="L248" s="6"/>
    </row>
    <row r="249" spans="1:12" ht="31.5" x14ac:dyDescent="0.25">
      <c r="A249" s="76" t="str">
        <f>'таланты+инициативы0,262'!A200</f>
        <v>текущий ремонт отмостки и системы отвода дождевой воды здания МБУ "МЦ "АУРУМ"</v>
      </c>
      <c r="B249" s="302" t="s">
        <v>22</v>
      </c>
      <c r="C249" s="321"/>
      <c r="D249" s="158">
        <f>D245</f>
        <v>0.36899999999999999</v>
      </c>
      <c r="E249" s="321">
        <v>477244.8</v>
      </c>
      <c r="F249" s="335">
        <f t="shared" ref="F249:F283" si="8">D249*E249</f>
        <v>176103.33119999999</v>
      </c>
      <c r="H249" s="6"/>
      <c r="I249" s="6"/>
      <c r="J249" s="6"/>
      <c r="K249" s="6"/>
      <c r="L249" s="6"/>
    </row>
    <row r="250" spans="1:12" x14ac:dyDescent="0.25">
      <c r="A250" s="76" t="str">
        <f>'таланты+инициативы0,262'!A201</f>
        <v xml:space="preserve">Мониторинг систем пожарной сигнализации  </v>
      </c>
      <c r="B250" s="302" t="s">
        <v>22</v>
      </c>
      <c r="C250" s="321"/>
      <c r="D250" s="417">
        <f>12*0.369</f>
        <v>4.4279999999999999</v>
      </c>
      <c r="E250" s="351">
        <f>'таланты+инициативы0,262'!E201</f>
        <v>2000</v>
      </c>
      <c r="F250" s="464">
        <f t="shared" si="8"/>
        <v>8856</v>
      </c>
      <c r="H250" s="6"/>
      <c r="I250" s="6"/>
      <c r="J250" s="6"/>
      <c r="K250" s="6"/>
      <c r="L250" s="6"/>
    </row>
    <row r="251" spans="1:12" x14ac:dyDescent="0.25">
      <c r="A251" s="76" t="str">
        <f>'таланты+инициативы0,262'!A202</f>
        <v xml:space="preserve">Уборка территории от снега </v>
      </c>
      <c r="B251" s="302" t="s">
        <v>22</v>
      </c>
      <c r="C251" s="321"/>
      <c r="D251" s="158">
        <f>2*0.369</f>
        <v>0.73799999999999999</v>
      </c>
      <c r="E251" s="351">
        <f>'таланты+инициативы0,262'!E202</f>
        <v>35707.5</v>
      </c>
      <c r="F251" s="464">
        <f t="shared" si="8"/>
        <v>26352.134999999998</v>
      </c>
      <c r="H251" s="6"/>
      <c r="I251" s="6"/>
      <c r="J251" s="6"/>
      <c r="K251" s="6"/>
      <c r="L251" s="6"/>
    </row>
    <row r="252" spans="1:12" x14ac:dyDescent="0.25">
      <c r="A252" s="76" t="str">
        <f>'таланты+инициативы0,262'!A203</f>
        <v>Профилактическая дезинфекция</v>
      </c>
      <c r="B252" s="302" t="s">
        <v>22</v>
      </c>
      <c r="C252" s="321"/>
      <c r="D252" s="158">
        <f>4*0.369</f>
        <v>1.476</v>
      </c>
      <c r="E252" s="351">
        <f>'таланты+инициативы0,262'!E203</f>
        <v>1650.6</v>
      </c>
      <c r="F252" s="464">
        <f t="shared" si="8"/>
        <v>2436.2855999999997</v>
      </c>
      <c r="H252" s="6"/>
      <c r="I252" s="6"/>
      <c r="J252" s="6"/>
      <c r="K252" s="6"/>
      <c r="L252" s="6"/>
    </row>
    <row r="253" spans="1:12" x14ac:dyDescent="0.25">
      <c r="A253" s="76" t="str">
        <f>'таланты+инициативы0,262'!A204</f>
        <v>Обслуживание системы видеонаблюдения</v>
      </c>
      <c r="B253" s="302" t="s">
        <v>22</v>
      </c>
      <c r="C253" s="321"/>
      <c r="D253" s="158">
        <f>12*0.369</f>
        <v>4.4279999999999999</v>
      </c>
      <c r="E253" s="351">
        <f>'таланты+инициативы0,262'!E204</f>
        <v>1000</v>
      </c>
      <c r="F253" s="464">
        <f t="shared" si="8"/>
        <v>4428</v>
      </c>
      <c r="H253" s="6"/>
      <c r="I253" s="6"/>
      <c r="J253" s="6"/>
      <c r="K253" s="6"/>
      <c r="L253" s="6"/>
    </row>
    <row r="254" spans="1:12" ht="31.5" x14ac:dyDescent="0.25">
      <c r="A254" s="76" t="str">
        <f>'таланты+инициативы0,262'!A205</f>
        <v>Комплексное обслуживание системы тепловодоснабжения и конструктивных элементов здания</v>
      </c>
      <c r="B254" s="302" t="s">
        <v>22</v>
      </c>
      <c r="C254" s="321"/>
      <c r="D254" s="158">
        <f>1*0.369</f>
        <v>0.36899999999999999</v>
      </c>
      <c r="E254" s="351">
        <f>'таланты+инициативы0,262'!E205</f>
        <v>50000</v>
      </c>
      <c r="F254" s="464">
        <f t="shared" si="8"/>
        <v>18450</v>
      </c>
      <c r="H254" s="6"/>
      <c r="I254" s="6"/>
      <c r="J254" s="6"/>
      <c r="K254" s="6"/>
      <c r="L254" s="6"/>
    </row>
    <row r="255" spans="1:12" x14ac:dyDescent="0.25">
      <c r="A255" s="76" t="str">
        <f>'таланты+инициативы0,262'!A206</f>
        <v>Договор осмотр технического состояния автомобиля</v>
      </c>
      <c r="B255" s="302" t="s">
        <v>22</v>
      </c>
      <c r="C255" s="321"/>
      <c r="D255" s="158">
        <f>150*0.369</f>
        <v>55.35</v>
      </c>
      <c r="E255" s="351">
        <f>'таланты+инициативы0,262'!E206</f>
        <v>181.43</v>
      </c>
      <c r="F255" s="464">
        <f t="shared" si="8"/>
        <v>10042.1505</v>
      </c>
      <c r="H255" s="6"/>
      <c r="I255" s="6"/>
      <c r="J255" s="6"/>
      <c r="K255" s="6"/>
      <c r="L255" s="6"/>
    </row>
    <row r="256" spans="1:12" x14ac:dyDescent="0.25">
      <c r="A256" s="76" t="str">
        <f>'таланты+инициативы0,262'!A207</f>
        <v>Техническое обслуживание систем пожарной сигнализации</v>
      </c>
      <c r="B256" s="302" t="s">
        <v>22</v>
      </c>
      <c r="C256" s="321"/>
      <c r="D256" s="384">
        <f>12*0.369</f>
        <v>4.4279999999999999</v>
      </c>
      <c r="E256" s="351">
        <f>'таланты+инициативы0,262'!E207</f>
        <v>1000</v>
      </c>
      <c r="F256" s="464">
        <f t="shared" si="8"/>
        <v>4428</v>
      </c>
      <c r="H256" s="6"/>
      <c r="I256" s="6"/>
      <c r="J256" s="6"/>
      <c r="K256" s="6"/>
      <c r="L256" s="6"/>
    </row>
    <row r="257" spans="1:12" x14ac:dyDescent="0.25">
      <c r="A257" s="76" t="str">
        <f>'таланты+инициативы0,262'!A208</f>
        <v>Заправка катриджей</v>
      </c>
      <c r="B257" s="302" t="s">
        <v>22</v>
      </c>
      <c r="C257" s="321"/>
      <c r="D257" s="418">
        <f>10*0.369</f>
        <v>3.69</v>
      </c>
      <c r="E257" s="351">
        <f>'таланты+инициативы0,262'!E208</f>
        <v>700</v>
      </c>
      <c r="F257" s="464">
        <f t="shared" si="8"/>
        <v>2583</v>
      </c>
      <c r="H257" s="6"/>
      <c r="I257" s="6"/>
      <c r="J257" s="6"/>
      <c r="K257" s="6"/>
      <c r="L257" s="6"/>
    </row>
    <row r="258" spans="1:12" x14ac:dyDescent="0.25">
      <c r="A258" s="76" t="str">
        <f>'таланты+инициативы0,262'!A209</f>
        <v>ремонт оборудования</v>
      </c>
      <c r="B258" s="302" t="s">
        <v>22</v>
      </c>
      <c r="C258" s="321"/>
      <c r="D258" s="418">
        <f>1*0.369</f>
        <v>0.36899999999999999</v>
      </c>
      <c r="E258" s="351">
        <f>'таланты+инициативы0,262'!E209</f>
        <v>19997.599999999999</v>
      </c>
      <c r="F258" s="464">
        <f t="shared" si="8"/>
        <v>7379.1143999999995</v>
      </c>
      <c r="H258" s="6"/>
      <c r="I258" s="6"/>
      <c r="J258" s="6"/>
      <c r="K258" s="6"/>
      <c r="L258" s="6"/>
    </row>
    <row r="259" spans="1:12" x14ac:dyDescent="0.25">
      <c r="A259" s="76" t="str">
        <f>'таланты+инициативы0,262'!A210</f>
        <v>монтаж системы видеонаблюдения</v>
      </c>
      <c r="B259" s="455" t="str">
        <f>'таланты+инициативы0,262'!B210</f>
        <v>договор</v>
      </c>
      <c r="C259" s="455">
        <f>'таланты+инициативы0,262'!C210</f>
        <v>0</v>
      </c>
      <c r="D259" s="455">
        <v>0.36899999999999999</v>
      </c>
      <c r="E259" s="455">
        <f>'таланты+инициативы0,262'!E210</f>
        <v>16030</v>
      </c>
      <c r="F259" s="465">
        <f>D259*E259</f>
        <v>5915.07</v>
      </c>
      <c r="H259" s="6"/>
      <c r="I259" s="6"/>
      <c r="J259" s="6"/>
      <c r="K259" s="6"/>
      <c r="L259" s="6"/>
    </row>
    <row r="260" spans="1:12" x14ac:dyDescent="0.25">
      <c r="A260" s="76" t="str">
        <f>'таланты+инициативы0,262'!A211</f>
        <v>Медосмотр при устройстве на работу</v>
      </c>
      <c r="B260" s="302" t="s">
        <v>22</v>
      </c>
      <c r="C260" s="321"/>
      <c r="D260" s="70">
        <f>2*0.369</f>
        <v>0.73799999999999999</v>
      </c>
      <c r="E260" s="351">
        <f>'таланты+инициативы0,262'!E211</f>
        <v>5000</v>
      </c>
      <c r="F260" s="335">
        <f t="shared" si="8"/>
        <v>3690</v>
      </c>
      <c r="H260" s="6"/>
      <c r="I260" s="6"/>
      <c r="J260" s="6"/>
      <c r="K260" s="6"/>
      <c r="L260" s="6"/>
    </row>
    <row r="261" spans="1:12" x14ac:dyDescent="0.25">
      <c r="A261" s="76" t="str">
        <f>'таланты+инициативы0,262'!A212</f>
        <v>Услуги СЕМИС подписка</v>
      </c>
      <c r="B261" s="302" t="s">
        <v>22</v>
      </c>
      <c r="C261" s="321"/>
      <c r="D261" s="70">
        <v>0.36899999999999999</v>
      </c>
      <c r="E261" s="351">
        <f>'таланты+инициативы0,262'!E212</f>
        <v>1195</v>
      </c>
      <c r="F261" s="335">
        <f t="shared" si="8"/>
        <v>440.95499999999998</v>
      </c>
      <c r="H261" s="6"/>
      <c r="I261" s="6"/>
      <c r="J261" s="6"/>
      <c r="K261" s="6"/>
      <c r="L261" s="6"/>
    </row>
    <row r="262" spans="1:12" x14ac:dyDescent="0.25">
      <c r="A262" s="76" t="str">
        <f>'таланты+инициативы0,262'!A213</f>
        <v>Предрейсовое медицинское обследование 200дней*85руб</v>
      </c>
      <c r="B262" s="302" t="s">
        <v>22</v>
      </c>
      <c r="C262" s="321"/>
      <c r="D262" s="70">
        <f>150*0.369</f>
        <v>55.35</v>
      </c>
      <c r="E262" s="351">
        <f>'таланты+инициативы0,262'!E213</f>
        <v>85</v>
      </c>
      <c r="F262" s="335">
        <f t="shared" si="8"/>
        <v>4704.75</v>
      </c>
      <c r="H262" s="6"/>
      <c r="I262" s="6"/>
      <c r="J262" s="6"/>
      <c r="K262" s="6"/>
      <c r="L262" s="6"/>
    </row>
    <row r="263" spans="1:12" x14ac:dyDescent="0.25">
      <c r="A263" s="76" t="str">
        <f>'таланты+инициативы0,262'!A214</f>
        <v xml:space="preserve">Услуги охраны  </v>
      </c>
      <c r="B263" s="302" t="s">
        <v>22</v>
      </c>
      <c r="C263" s="321"/>
      <c r="D263" s="70">
        <f>12*0.369</f>
        <v>4.4279999999999999</v>
      </c>
      <c r="E263" s="351">
        <f>'таланты+инициативы0,262'!E214</f>
        <v>8000</v>
      </c>
      <c r="F263" s="335">
        <f t="shared" si="8"/>
        <v>35424</v>
      </c>
      <c r="H263" s="6"/>
      <c r="I263" s="6"/>
      <c r="J263" s="6"/>
      <c r="K263" s="6"/>
      <c r="L263" s="6"/>
    </row>
    <row r="264" spans="1:12" x14ac:dyDescent="0.25">
      <c r="A264" s="76" t="str">
        <f>'таланты+инициативы0,262'!A215</f>
        <v>Обслуживание систем охранных средств сигнализации (тревожная кнопка)</v>
      </c>
      <c r="B264" s="302" t="s">
        <v>22</v>
      </c>
      <c r="C264" s="321"/>
      <c r="D264" s="70">
        <f>12*0.369</f>
        <v>4.4279999999999999</v>
      </c>
      <c r="E264" s="351">
        <f>'таланты+инициативы0,262'!E215</f>
        <v>5000</v>
      </c>
      <c r="F264" s="335">
        <f t="shared" si="8"/>
        <v>22140</v>
      </c>
      <c r="H264" s="6"/>
      <c r="I264" s="6"/>
      <c r="J264" s="6"/>
      <c r="K264" s="6"/>
      <c r="L264" s="6"/>
    </row>
    <row r="265" spans="1:12" x14ac:dyDescent="0.25">
      <c r="A265" s="76" t="str">
        <f>'таланты+инициативы0,262'!A216</f>
        <v>Страховая премия по полису ОСАГО за УАЗ</v>
      </c>
      <c r="B265" s="302" t="s">
        <v>22</v>
      </c>
      <c r="C265" s="321"/>
      <c r="D265" s="70">
        <v>0.36899999999999999</v>
      </c>
      <c r="E265" s="351">
        <f>'таланты+инициативы0,262'!E216</f>
        <v>5500</v>
      </c>
      <c r="F265" s="335">
        <f t="shared" si="8"/>
        <v>2029.5</v>
      </c>
      <c r="H265" s="6"/>
      <c r="I265" s="6"/>
      <c r="J265" s="6"/>
      <c r="K265" s="6"/>
      <c r="L265" s="6"/>
    </row>
    <row r="266" spans="1:12" ht="31.5" x14ac:dyDescent="0.25">
      <c r="A266" s="76" t="str">
        <f>'таланты+инициативы0,262'!A217</f>
        <v>Диагностика бытовой и оргтехники для определения возможности ее дальнейшего использования (244/226)</v>
      </c>
      <c r="B266" s="302" t="s">
        <v>22</v>
      </c>
      <c r="C266" s="321"/>
      <c r="D266" s="386">
        <v>0.36899999999999999</v>
      </c>
      <c r="E266" s="351">
        <f>'таланты+инициативы0,262'!E217</f>
        <v>4500</v>
      </c>
      <c r="F266" s="335">
        <f t="shared" si="8"/>
        <v>1660.5</v>
      </c>
      <c r="H266" s="6"/>
      <c r="I266" s="6"/>
      <c r="J266" s="6"/>
      <c r="K266" s="6"/>
      <c r="L266" s="6"/>
    </row>
    <row r="267" spans="1:12" x14ac:dyDescent="0.25">
      <c r="A267" s="76" t="str">
        <f>'таланты+инициативы0,262'!A218</f>
        <v>Изготовление снежных фигур</v>
      </c>
      <c r="B267" s="302" t="s">
        <v>22</v>
      </c>
      <c r="C267" s="321"/>
      <c r="D267" s="386">
        <v>0.36899999999999999</v>
      </c>
      <c r="E267" s="351">
        <f>'таланты+инициативы0,262'!E218</f>
        <v>20555</v>
      </c>
      <c r="F267" s="335">
        <f t="shared" si="8"/>
        <v>7584.7950000000001</v>
      </c>
      <c r="H267" s="6"/>
      <c r="I267" s="6"/>
      <c r="J267" s="6"/>
      <c r="K267" s="6"/>
      <c r="L267" s="6"/>
    </row>
    <row r="268" spans="1:12" x14ac:dyDescent="0.25">
      <c r="A268" s="76" t="str">
        <f>'инновации+добровольчество0,369'!A237</f>
        <v>изготовление банера</v>
      </c>
      <c r="B268" s="445" t="str">
        <f>'инновации+добровольчество0,369'!B237</f>
        <v>договор</v>
      </c>
      <c r="C268" s="445">
        <f>'инновации+добровольчество0,369'!C237</f>
        <v>0</v>
      </c>
      <c r="D268" s="445">
        <f>'инновации+добровольчество0,369'!D237</f>
        <v>0.36899999999999999</v>
      </c>
      <c r="E268" s="445">
        <f>'инновации+добровольчество0,369'!E237</f>
        <v>30000</v>
      </c>
      <c r="F268" s="445">
        <f>'инновации+добровольчество0,369'!F237</f>
        <v>11070</v>
      </c>
      <c r="H268" s="6"/>
      <c r="I268" s="6"/>
      <c r="J268" s="6"/>
      <c r="K268" s="6"/>
      <c r="L268" s="6"/>
    </row>
    <row r="269" spans="1:12" x14ac:dyDescent="0.25">
      <c r="A269" s="76" t="str">
        <f>'таланты+инициативы0,262'!A220</f>
        <v>Приобретение программного обеспечения</v>
      </c>
      <c r="B269" s="302" t="s">
        <v>22</v>
      </c>
      <c r="C269" s="321"/>
      <c r="D269" s="386">
        <f>4*0.369</f>
        <v>1.476</v>
      </c>
      <c r="E269" s="351">
        <f>'таланты+инициативы0,262'!E220</f>
        <v>7400</v>
      </c>
      <c r="F269" s="335">
        <f t="shared" si="8"/>
        <v>10922.4</v>
      </c>
      <c r="H269" s="6"/>
      <c r="I269" s="6"/>
      <c r="J269" s="6"/>
      <c r="K269" s="6"/>
      <c r="L269" s="6"/>
    </row>
    <row r="270" spans="1:12" hidden="1" x14ac:dyDescent="0.25">
      <c r="A270" s="76"/>
      <c r="B270" s="302"/>
      <c r="C270" s="321"/>
      <c r="D270" s="386"/>
      <c r="E270" s="351"/>
      <c r="F270" s="335"/>
      <c r="H270" s="6"/>
      <c r="I270" s="6"/>
      <c r="J270" s="6"/>
      <c r="K270" s="6"/>
      <c r="L270" s="6"/>
    </row>
    <row r="271" spans="1:12" hidden="1" x14ac:dyDescent="0.25">
      <c r="A271" s="76">
        <f>'таланты+инициативы0,262'!A222</f>
        <v>0</v>
      </c>
      <c r="B271" s="302" t="s">
        <v>22</v>
      </c>
      <c r="C271" s="321"/>
      <c r="D271" s="386">
        <v>0</v>
      </c>
      <c r="E271" s="321">
        <f>'инновации+добровольчество0,369'!E242</f>
        <v>20718.32</v>
      </c>
      <c r="F271" s="335">
        <f t="shared" si="8"/>
        <v>0</v>
      </c>
      <c r="H271" s="6"/>
      <c r="I271" s="6"/>
      <c r="J271" s="6"/>
      <c r="K271" s="6"/>
      <c r="L271" s="6"/>
    </row>
    <row r="272" spans="1:12" hidden="1" x14ac:dyDescent="0.25">
      <c r="A272" s="76">
        <f>'таланты+инициативы0,262'!A223</f>
        <v>0</v>
      </c>
      <c r="B272" s="302" t="s">
        <v>22</v>
      </c>
      <c r="C272" s="321"/>
      <c r="D272" s="386">
        <v>0</v>
      </c>
      <c r="E272" s="321">
        <f>'инновации+добровольчество0,369'!E243</f>
        <v>100</v>
      </c>
      <c r="F272" s="335">
        <f t="shared" si="8"/>
        <v>0</v>
      </c>
      <c r="H272" s="6"/>
      <c r="I272" s="6"/>
      <c r="J272" s="6"/>
      <c r="K272" s="6"/>
      <c r="L272" s="6"/>
    </row>
    <row r="273" spans="1:12" hidden="1" x14ac:dyDescent="0.25">
      <c r="A273" s="76">
        <f>'инновации+добровольчество0,369'!A244</f>
        <v>0</v>
      </c>
      <c r="B273" s="302" t="s">
        <v>22</v>
      </c>
      <c r="C273" s="321"/>
      <c r="D273" s="321">
        <f t="shared" ref="D273:D283" si="9">$D$254</f>
        <v>0.36899999999999999</v>
      </c>
      <c r="E273" s="321"/>
      <c r="F273" s="335">
        <f t="shared" si="8"/>
        <v>0</v>
      </c>
      <c r="H273" s="6"/>
      <c r="I273" s="6"/>
      <c r="J273" s="6"/>
      <c r="K273" s="6"/>
      <c r="L273" s="6"/>
    </row>
    <row r="274" spans="1:12" hidden="1" x14ac:dyDescent="0.25">
      <c r="A274" s="76">
        <f>'инновации+добровольчество0,369'!A245</f>
        <v>0</v>
      </c>
      <c r="B274" s="302" t="s">
        <v>22</v>
      </c>
      <c r="C274" s="321"/>
      <c r="D274" s="321">
        <f t="shared" si="9"/>
        <v>0.36899999999999999</v>
      </c>
      <c r="E274" s="321"/>
      <c r="F274" s="335">
        <f t="shared" si="8"/>
        <v>0</v>
      </c>
      <c r="H274" s="6"/>
      <c r="I274" s="6"/>
      <c r="J274" s="6"/>
      <c r="K274" s="6"/>
      <c r="L274" s="6"/>
    </row>
    <row r="275" spans="1:12" hidden="1" x14ac:dyDescent="0.25">
      <c r="A275" s="76">
        <f>'инновации+добровольчество0,369'!A246</f>
        <v>0</v>
      </c>
      <c r="B275" s="302" t="s">
        <v>22</v>
      </c>
      <c r="C275" s="321"/>
      <c r="D275" s="321">
        <f t="shared" si="9"/>
        <v>0.36899999999999999</v>
      </c>
      <c r="E275" s="321"/>
      <c r="F275" s="335">
        <f t="shared" si="8"/>
        <v>0</v>
      </c>
      <c r="H275" s="6"/>
      <c r="I275" s="6"/>
      <c r="J275" s="6"/>
      <c r="K275" s="6"/>
      <c r="L275" s="6"/>
    </row>
    <row r="276" spans="1:12" hidden="1" x14ac:dyDescent="0.25">
      <c r="A276" s="76">
        <f>'инновации+добровольчество0,369'!A247</f>
        <v>0</v>
      </c>
      <c r="B276" s="302" t="s">
        <v>22</v>
      </c>
      <c r="C276" s="321"/>
      <c r="D276" s="321">
        <f t="shared" si="9"/>
        <v>0.36899999999999999</v>
      </c>
      <c r="E276" s="321"/>
      <c r="F276" s="335">
        <f t="shared" si="8"/>
        <v>0</v>
      </c>
      <c r="H276" s="6"/>
      <c r="I276" s="6"/>
      <c r="J276" s="6"/>
      <c r="K276" s="6"/>
      <c r="L276" s="6"/>
    </row>
    <row r="277" spans="1:12" hidden="1" x14ac:dyDescent="0.25">
      <c r="A277" s="76">
        <f>'инновации+добровольчество0,369'!A248</f>
        <v>0</v>
      </c>
      <c r="B277" s="302" t="s">
        <v>22</v>
      </c>
      <c r="C277" s="321"/>
      <c r="D277" s="321">
        <f t="shared" si="9"/>
        <v>0.36899999999999999</v>
      </c>
      <c r="E277" s="321"/>
      <c r="F277" s="335">
        <f t="shared" si="8"/>
        <v>0</v>
      </c>
      <c r="H277" s="6"/>
      <c r="I277" s="6"/>
      <c r="J277" s="6"/>
      <c r="K277" s="6"/>
      <c r="L277" s="6"/>
    </row>
    <row r="278" spans="1:12" hidden="1" x14ac:dyDescent="0.25">
      <c r="A278" s="76">
        <f>'инновации+добровольчество0,369'!A249</f>
        <v>0</v>
      </c>
      <c r="B278" s="302" t="s">
        <v>22</v>
      </c>
      <c r="C278" s="321"/>
      <c r="D278" s="321">
        <f t="shared" si="9"/>
        <v>0.36899999999999999</v>
      </c>
      <c r="E278" s="321"/>
      <c r="F278" s="335">
        <f t="shared" si="8"/>
        <v>0</v>
      </c>
      <c r="H278" s="6"/>
      <c r="I278" s="6"/>
      <c r="J278" s="6"/>
      <c r="K278" s="6"/>
      <c r="L278" s="6"/>
    </row>
    <row r="279" spans="1:12" hidden="1" x14ac:dyDescent="0.25">
      <c r="A279" s="76">
        <f>'инновации+добровольчество0,369'!A250</f>
        <v>0</v>
      </c>
      <c r="B279" s="302" t="s">
        <v>22</v>
      </c>
      <c r="C279" s="321"/>
      <c r="D279" s="321">
        <f t="shared" si="9"/>
        <v>0.36899999999999999</v>
      </c>
      <c r="E279" s="321"/>
      <c r="F279" s="335">
        <f t="shared" si="8"/>
        <v>0</v>
      </c>
      <c r="H279" s="6"/>
      <c r="I279" s="6"/>
      <c r="J279" s="6"/>
      <c r="K279" s="6"/>
      <c r="L279" s="6"/>
    </row>
    <row r="280" spans="1:12" hidden="1" x14ac:dyDescent="0.25">
      <c r="A280" s="76">
        <f>'инновации+добровольчество0,369'!A251</f>
        <v>0</v>
      </c>
      <c r="B280" s="302" t="s">
        <v>22</v>
      </c>
      <c r="C280" s="317"/>
      <c r="D280" s="321">
        <f t="shared" si="9"/>
        <v>0.36899999999999999</v>
      </c>
      <c r="E280" s="321"/>
      <c r="F280" s="335">
        <f t="shared" si="8"/>
        <v>0</v>
      </c>
      <c r="H280" s="6"/>
      <c r="I280" s="6"/>
      <c r="J280" s="6"/>
      <c r="K280" s="6"/>
      <c r="L280" s="6"/>
    </row>
    <row r="281" spans="1:12" hidden="1" x14ac:dyDescent="0.25">
      <c r="A281" s="76">
        <f>'инновации+добровольчество0,369'!A252</f>
        <v>0</v>
      </c>
      <c r="B281" s="302" t="s">
        <v>22</v>
      </c>
      <c r="C281" s="292"/>
      <c r="D281" s="321">
        <f t="shared" si="9"/>
        <v>0.36899999999999999</v>
      </c>
      <c r="E281" s="321"/>
      <c r="F281" s="335">
        <f t="shared" si="8"/>
        <v>0</v>
      </c>
      <c r="H281" s="6"/>
      <c r="I281" s="6"/>
      <c r="J281" s="6"/>
      <c r="K281" s="6"/>
      <c r="L281" s="6"/>
    </row>
    <row r="282" spans="1:12" hidden="1" x14ac:dyDescent="0.25">
      <c r="A282" s="76">
        <f>'инновации+добровольчество0,369'!A253</f>
        <v>0</v>
      </c>
      <c r="B282" s="302" t="s">
        <v>22</v>
      </c>
      <c r="C282" s="292"/>
      <c r="D282" s="321">
        <f t="shared" si="9"/>
        <v>0.36899999999999999</v>
      </c>
      <c r="E282" s="321"/>
      <c r="F282" s="335">
        <f t="shared" si="8"/>
        <v>0</v>
      </c>
      <c r="H282" s="6"/>
      <c r="I282" s="6"/>
      <c r="J282" s="6"/>
      <c r="K282" s="6"/>
      <c r="L282" s="6"/>
    </row>
    <row r="283" spans="1:12" ht="18.75" hidden="1" customHeight="1" x14ac:dyDescent="0.25">
      <c r="A283" s="76">
        <f>'инновации+добровольчество0,369'!A254</f>
        <v>0</v>
      </c>
      <c r="B283" s="302" t="s">
        <v>22</v>
      </c>
      <c r="C283" s="292"/>
      <c r="D283" s="321">
        <f t="shared" si="9"/>
        <v>0.36899999999999999</v>
      </c>
      <c r="E283" s="321"/>
      <c r="F283" s="335">
        <f t="shared" si="8"/>
        <v>0</v>
      </c>
      <c r="H283" s="6"/>
      <c r="I283" s="6"/>
      <c r="J283" s="6"/>
      <c r="K283" s="6"/>
      <c r="L283" s="6"/>
    </row>
    <row r="284" spans="1:12" ht="18.75" x14ac:dyDescent="0.25">
      <c r="A284" s="675" t="s">
        <v>23</v>
      </c>
      <c r="B284" s="676"/>
      <c r="C284" s="676"/>
      <c r="D284" s="676"/>
      <c r="E284" s="677"/>
      <c r="F284" s="275">
        <f>SUM(F249:F283)</f>
        <v>366639.98670000001</v>
      </c>
      <c r="H284" s="6"/>
      <c r="I284" s="6"/>
      <c r="J284" s="6"/>
      <c r="K284" s="6"/>
      <c r="L284" s="6"/>
    </row>
    <row r="285" spans="1:12" x14ac:dyDescent="0.25">
      <c r="A285" s="707" t="s">
        <v>29</v>
      </c>
      <c r="B285" s="708"/>
      <c r="C285" s="708"/>
      <c r="D285" s="708"/>
      <c r="E285" s="708"/>
      <c r="F285" s="709"/>
    </row>
    <row r="286" spans="1:12" x14ac:dyDescent="0.25">
      <c r="A286" s="710">
        <f>D245</f>
        <v>0.36899999999999999</v>
      </c>
      <c r="B286" s="711"/>
      <c r="C286" s="711"/>
      <c r="D286" s="711"/>
      <c r="E286" s="711"/>
      <c r="F286" s="712"/>
    </row>
    <row r="287" spans="1:12" ht="15.75" customHeight="1" x14ac:dyDescent="0.25">
      <c r="A287" s="563" t="s">
        <v>30</v>
      </c>
      <c r="B287" s="563" t="s">
        <v>11</v>
      </c>
      <c r="C287" s="302"/>
      <c r="D287" s="563" t="s">
        <v>14</v>
      </c>
      <c r="E287" s="563" t="s">
        <v>15</v>
      </c>
      <c r="F287" s="614" t="s">
        <v>6</v>
      </c>
    </row>
    <row r="288" spans="1:12" x14ac:dyDescent="0.25">
      <c r="A288" s="563"/>
      <c r="B288" s="563"/>
      <c r="C288" s="302"/>
      <c r="D288" s="563"/>
      <c r="E288" s="563"/>
      <c r="F288" s="615"/>
    </row>
    <row r="289" spans="1:6" x14ac:dyDescent="0.25">
      <c r="A289" s="302">
        <v>1</v>
      </c>
      <c r="B289" s="302">
        <v>2</v>
      </c>
      <c r="C289" s="302"/>
      <c r="D289" s="302">
        <v>3</v>
      </c>
      <c r="E289" s="302">
        <v>7</v>
      </c>
      <c r="F289" s="302" t="s">
        <v>173</v>
      </c>
    </row>
    <row r="290" spans="1:6" x14ac:dyDescent="0.25">
      <c r="A290" s="216" t="str">
        <f>'таланты+инициативы0,262'!A231</f>
        <v>Обучение электроустановки</v>
      </c>
      <c r="B290" s="342" t="s">
        <v>190</v>
      </c>
      <c r="C290" s="341"/>
      <c r="D290" s="341">
        <f>2*A286</f>
        <v>0.73799999999999999</v>
      </c>
      <c r="E290" s="341">
        <f>'таланты+инициативы0,262'!E231</f>
        <v>5000</v>
      </c>
      <c r="F290" s="245">
        <f t="shared" ref="F290:F291" si="10">D290*E290</f>
        <v>3690</v>
      </c>
    </row>
    <row r="291" spans="1:6" x14ac:dyDescent="0.25">
      <c r="A291" s="216" t="str">
        <f>'таланты+инициативы0,262'!A232</f>
        <v>переподготовка</v>
      </c>
      <c r="B291" s="342" t="s">
        <v>190</v>
      </c>
      <c r="C291" s="341"/>
      <c r="D291" s="341">
        <f>3*A286</f>
        <v>1.107</v>
      </c>
      <c r="E291" s="341">
        <f>'таланты+инициативы0,262'!E232</f>
        <v>20000</v>
      </c>
      <c r="F291" s="245">
        <f t="shared" si="10"/>
        <v>22140</v>
      </c>
    </row>
    <row r="292" spans="1:6" ht="16.5" x14ac:dyDescent="0.25">
      <c r="A292" s="216" t="str">
        <f>'таланты+инициативы0,262'!A233</f>
        <v>КОНТРАКТ ООО ОПТИМА ХОЗЫ</v>
      </c>
      <c r="B292" s="296" t="str">
        <f>'инновации+добровольчество0,369'!B263</f>
        <v>шт</v>
      </c>
      <c r="C292" s="302"/>
      <c r="D292" s="390">
        <f>Лист1!C3*$A$286</f>
        <v>0.36899999999999999</v>
      </c>
      <c r="E292" s="341">
        <f>'таланты+инициативы0,262'!E233</f>
        <v>260</v>
      </c>
      <c r="F292" s="245">
        <f>D292*E292</f>
        <v>95.94</v>
      </c>
    </row>
    <row r="293" spans="1:6" ht="16.5" x14ac:dyDescent="0.25">
      <c r="A293" s="216" t="str">
        <f>'таланты+инициативы0,262'!A234</f>
        <v>Кисть Акор "ЭКСПЕРТ"КФ- 25*8 натур.щетина /10/1050/</v>
      </c>
      <c r="B293" s="296" t="str">
        <f>'инновации+добровольчество0,369'!B264</f>
        <v>шт</v>
      </c>
      <c r="C293" s="302"/>
      <c r="D293" s="390">
        <f>Лист1!C4*$A$286</f>
        <v>0.36899999999999999</v>
      </c>
      <c r="E293" s="448">
        <f>'таланты+инициативы0,262'!E234</f>
        <v>22</v>
      </c>
      <c r="F293" s="245">
        <f>D293*E293</f>
        <v>8.1180000000000003</v>
      </c>
    </row>
    <row r="294" spans="1:6" ht="24.75" customHeight="1" x14ac:dyDescent="0.25">
      <c r="A294" s="216" t="str">
        <f>'таланты+инициативы0,262'!A235</f>
        <v>Лак БТ-577 (Кузбасслак)   0,9л СГ /6/</v>
      </c>
      <c r="B294" s="296" t="str">
        <f>'инновации+добровольчество0,369'!B265</f>
        <v>шт</v>
      </c>
      <c r="C294" s="302"/>
      <c r="D294" s="390">
        <f>Лист1!C5*$A$286</f>
        <v>0.36899999999999999</v>
      </c>
      <c r="E294" s="448">
        <f>'таланты+инициативы0,262'!E235</f>
        <v>127</v>
      </c>
      <c r="F294" s="245">
        <f t="shared" ref="F294:F315" si="11">D294*E294</f>
        <v>46.863</v>
      </c>
    </row>
    <row r="295" spans="1:6" ht="24.75" customHeight="1" x14ac:dyDescent="0.25">
      <c r="A295" s="216" t="str">
        <f>'таланты+инициативы0,262'!A236</f>
        <v>Морилка "Красное дерево" 0,50л водная  пэт</v>
      </c>
      <c r="B295" s="296" t="str">
        <f>'инновации+добровольчество0,369'!B266</f>
        <v>шт</v>
      </c>
      <c r="C295" s="302"/>
      <c r="D295" s="390">
        <f>Лист1!C6*$A$286</f>
        <v>0.73799999999999999</v>
      </c>
      <c r="E295" s="448">
        <f>'таланты+инициативы0,262'!E236</f>
        <v>84</v>
      </c>
      <c r="F295" s="245">
        <f t="shared" ref="F295" si="12">D295*E295</f>
        <v>61.991999999999997</v>
      </c>
    </row>
    <row r="296" spans="1:6" ht="16.5" x14ac:dyDescent="0.25">
      <c r="A296" s="216" t="str">
        <f>'таланты+инициативы0,262'!A237</f>
        <v>Порожек стык 1,8 м дуб темный 60мм (6) ПС07.1800.091</v>
      </c>
      <c r="B296" s="296" t="str">
        <f>'инновации+добровольчество0,369'!B267</f>
        <v>шт</v>
      </c>
      <c r="C296" s="302"/>
      <c r="D296" s="390">
        <f>Лист1!C7*$A$286</f>
        <v>0.73799999999999999</v>
      </c>
      <c r="E296" s="448">
        <f>'таланты+инициативы0,262'!E237</f>
        <v>490</v>
      </c>
      <c r="F296" s="245">
        <f t="shared" si="11"/>
        <v>361.62</v>
      </c>
    </row>
    <row r="297" spans="1:6" ht="16.5" x14ac:dyDescent="0.25">
      <c r="A297" s="216" t="str">
        <f>'таланты+инициативы0,262'!A238</f>
        <v>Профиль потолочный А-1 3,0м в сборе (Т) (20)</v>
      </c>
      <c r="B297" s="296" t="str">
        <f>'инновации+добровольчество0,369'!B268</f>
        <v>шт</v>
      </c>
      <c r="C297" s="302"/>
      <c r="D297" s="390">
        <f>Лист1!C8*$A$286</f>
        <v>0.36899999999999999</v>
      </c>
      <c r="E297" s="448">
        <f>'таланты+инициативы0,262'!E238</f>
        <v>160</v>
      </c>
      <c r="F297" s="245">
        <f t="shared" si="11"/>
        <v>59.04</v>
      </c>
    </row>
    <row r="298" spans="1:6" ht="16.5" x14ac:dyDescent="0.25">
      <c r="A298" s="216" t="str">
        <f>'таланты+инициативы0,262'!A239</f>
        <v>STAYER MAXI, 105х55мм, стусло пластиковое</v>
      </c>
      <c r="B298" s="296" t="str">
        <f>'инновации+добровольчество0,369'!B269</f>
        <v>шт</v>
      </c>
      <c r="C298" s="302"/>
      <c r="D298" s="390">
        <f>Лист1!C9*$A$286</f>
        <v>0.36899999999999999</v>
      </c>
      <c r="E298" s="448">
        <f>'таланты+инициативы0,262'!E239</f>
        <v>216</v>
      </c>
      <c r="F298" s="245">
        <f t="shared" si="11"/>
        <v>79.703999999999994</v>
      </c>
    </row>
    <row r="299" spans="1:6" ht="16.5" x14ac:dyDescent="0.25">
      <c r="A299" s="216" t="str">
        <f>'таланты+инициативы0,262'!A240</f>
        <v>Ножовка по металлу ЗУБР МХ-100, метал.рамка, пласт.ручка,натяжение 60кг, 300мм</v>
      </c>
      <c r="B299" s="296" t="str">
        <f>'инновации+добровольчество0,369'!B270</f>
        <v>шт</v>
      </c>
      <c r="C299" s="302"/>
      <c r="D299" s="390">
        <f>Лист1!C10*$A$286</f>
        <v>0.36899999999999999</v>
      </c>
      <c r="E299" s="448">
        <f>'таланты+инициативы0,262'!E240</f>
        <v>275</v>
      </c>
      <c r="F299" s="245">
        <f t="shared" si="11"/>
        <v>101.47499999999999</v>
      </c>
    </row>
    <row r="300" spans="1:6" ht="16.5" x14ac:dyDescent="0.25">
      <c r="A300" s="216" t="str">
        <f>'таланты+инициативы0,262'!A241</f>
        <v>Ножовка ЗУБР Молния-5 по дереву, прямой крупный зуб, 500мм</v>
      </c>
      <c r="B300" s="296" t="str">
        <f>'инновации+добровольчество0,369'!B271</f>
        <v>шт</v>
      </c>
      <c r="C300" s="302"/>
      <c r="D300" s="390">
        <f>Лист1!C11*$A$286</f>
        <v>0.36899999999999999</v>
      </c>
      <c r="E300" s="448">
        <f>'таланты+инициативы0,262'!E241</f>
        <v>634</v>
      </c>
      <c r="F300" s="245">
        <f t="shared" si="11"/>
        <v>233.946</v>
      </c>
    </row>
    <row r="301" spans="1:6" ht="16.5" x14ac:dyDescent="0.25">
      <c r="A301" s="216" t="str">
        <f>'таланты+инициативы0,262'!A242</f>
        <v>Рулетка ХК STANDART 10м*25мм, магнит, автостоп, обрезиненный корпус /12/60/</v>
      </c>
      <c r="B301" s="296" t="str">
        <f>'инновации+добровольчество0,369'!B272</f>
        <v>шт</v>
      </c>
      <c r="C301" s="302"/>
      <c r="D301" s="390">
        <f>Лист1!C12*$A$286</f>
        <v>0.73799999999999999</v>
      </c>
      <c r="E301" s="448">
        <f>'таланты+инициативы0,262'!E242</f>
        <v>406</v>
      </c>
      <c r="F301" s="245">
        <f t="shared" si="11"/>
        <v>299.62799999999999</v>
      </c>
    </row>
    <row r="302" spans="1:6" ht="16.5" x14ac:dyDescent="0.25">
      <c r="A302" s="216" t="str">
        <f>'таланты+инициативы0,262'!A243</f>
        <v>Хомут нейлоновый 3,6х250мм 100шт белый /10/</v>
      </c>
      <c r="B302" s="296" t="str">
        <f>'инновации+добровольчество0,369'!B273</f>
        <v>шт</v>
      </c>
      <c r="C302" s="302"/>
      <c r="D302" s="390">
        <f>Лист1!C13*$A$286</f>
        <v>0.36899999999999999</v>
      </c>
      <c r="E302" s="448">
        <f>'таланты+инициативы0,262'!E243</f>
        <v>147</v>
      </c>
      <c r="F302" s="245">
        <f t="shared" si="11"/>
        <v>54.243000000000002</v>
      </c>
    </row>
    <row r="303" spans="1:6" ht="16.5" x14ac:dyDescent="0.25">
      <c r="A303" s="216" t="str">
        <f>'таланты+инициативы0,262'!A244</f>
        <v>Хомут нейлоновый 3,6х350мм 100шт белый</v>
      </c>
      <c r="B303" s="296" t="str">
        <f>'инновации+добровольчество0,369'!B274</f>
        <v>шт</v>
      </c>
      <c r="C303" s="302"/>
      <c r="D303" s="390">
        <f>Лист1!C14*$A$286</f>
        <v>0.36899999999999999</v>
      </c>
      <c r="E303" s="448">
        <f>'таланты+инициативы0,262'!E244</f>
        <v>205</v>
      </c>
      <c r="F303" s="245">
        <f t="shared" si="11"/>
        <v>75.644999999999996</v>
      </c>
    </row>
    <row r="304" spans="1:6" ht="16.5" x14ac:dyDescent="0.25">
      <c r="A304" s="216" t="str">
        <f>'таланты+инициативы0,262'!A245</f>
        <v>Нож ЕРМАК 18 мм, складной, двухкомпонентная рукоятка, сменное лезвие 649-015/1/</v>
      </c>
      <c r="B304" s="296" t="str">
        <f>'инновации+добровольчество0,369'!B275</f>
        <v>шт</v>
      </c>
      <c r="C304" s="302"/>
      <c r="D304" s="390">
        <f>Лист1!C15*$A$286</f>
        <v>0.36899999999999999</v>
      </c>
      <c r="E304" s="448">
        <f>'таланты+инициативы0,262'!E245</f>
        <v>96</v>
      </c>
      <c r="F304" s="245">
        <f t="shared" ref="F304:F305" si="13">D304*E304</f>
        <v>35.423999999999999</v>
      </c>
    </row>
    <row r="305" spans="1:6" ht="16.5" x14ac:dyDescent="0.25">
      <c r="A305" s="216" t="str">
        <f>'таланты+инициативы0,262'!A246</f>
        <v>Сверло ЗУБР "МАСТЕР" по бетону ударное, 10x300мм</v>
      </c>
      <c r="B305" s="296" t="str">
        <f>'инновации+добровольчество0,369'!B276</f>
        <v>шт</v>
      </c>
      <c r="C305" s="302"/>
      <c r="D305" s="390">
        <f>Лист1!C16*$A$286</f>
        <v>0.36899999999999999</v>
      </c>
      <c r="E305" s="448">
        <f>'таланты+инициативы0,262'!E246</f>
        <v>133</v>
      </c>
      <c r="F305" s="245">
        <f t="shared" si="13"/>
        <v>49.076999999999998</v>
      </c>
    </row>
    <row r="306" spans="1:6" ht="16.5" x14ac:dyDescent="0.25">
      <c r="A306" s="216" t="str">
        <f>'таланты+инициативы0,262'!A247</f>
        <v>Сверло ЗУБР "СУПЕР-6" по бетону ударное, шестигранный хвостовик, 8x300мм</v>
      </c>
      <c r="B306" s="296" t="str">
        <f>'инновации+добровольчество0,369'!B277</f>
        <v>шт</v>
      </c>
      <c r="C306" s="302"/>
      <c r="D306" s="390">
        <f>Лист1!C17*$A$286</f>
        <v>0.36899999999999999</v>
      </c>
      <c r="E306" s="448">
        <f>'таланты+инициативы0,262'!E247</f>
        <v>189</v>
      </c>
      <c r="F306" s="245">
        <f t="shared" si="11"/>
        <v>69.741</v>
      </c>
    </row>
    <row r="307" spans="1:6" ht="16.5" x14ac:dyDescent="0.25">
      <c r="A307" s="216" t="str">
        <f>'таланты+инициативы0,262'!A248</f>
        <v>ЗУБР МАСТЕР 6 х 150  мм сверло по бетону</v>
      </c>
      <c r="B307" s="296" t="str">
        <f>'инновации+добровольчество0,369'!B278</f>
        <v>шт</v>
      </c>
      <c r="C307" s="302"/>
      <c r="D307" s="390">
        <f>Лист1!C18*$A$286</f>
        <v>0.36899999999999999</v>
      </c>
      <c r="E307" s="448">
        <f>'таланты+инициативы0,262'!E248</f>
        <v>69</v>
      </c>
      <c r="F307" s="245">
        <f t="shared" si="11"/>
        <v>25.460999999999999</v>
      </c>
    </row>
    <row r="308" spans="1:6" ht="16.5" x14ac:dyDescent="0.25">
      <c r="A308" s="216" t="str">
        <f>'таланты+инициативы0,262'!A249</f>
        <v>ЗУБР МАСТЕР 4 х 75  мм сверло по бетону</v>
      </c>
      <c r="B308" s="296" t="str">
        <f>'инновации+добровольчество0,369'!B279</f>
        <v>шт</v>
      </c>
      <c r="C308" s="302"/>
      <c r="D308" s="390">
        <f>Лист1!C19*$A$286</f>
        <v>0.36899999999999999</v>
      </c>
      <c r="E308" s="448">
        <f>'таланты+инициативы0,262'!E249</f>
        <v>40</v>
      </c>
      <c r="F308" s="245">
        <f t="shared" si="11"/>
        <v>14.76</v>
      </c>
    </row>
    <row r="309" spans="1:6" ht="16.5" x14ac:dyDescent="0.25">
      <c r="A309" s="216" t="str">
        <f>'таланты+инициативы0,262'!A250</f>
        <v>ЗУБР МАСТЕР 5 x 85  мм сверло по бетону</v>
      </c>
      <c r="B309" s="296" t="str">
        <f>'инновации+добровольчество0,369'!B280</f>
        <v>шт</v>
      </c>
      <c r="C309" s="302"/>
      <c r="D309" s="390">
        <f>Лист1!C20*$A$286</f>
        <v>0.36899999999999999</v>
      </c>
      <c r="E309" s="448">
        <f>'таланты+инициативы0,262'!E250</f>
        <v>48</v>
      </c>
      <c r="F309" s="245">
        <f t="shared" si="11"/>
        <v>17.712</v>
      </c>
    </row>
    <row r="310" spans="1:6" s="282" customFormat="1" ht="30" x14ac:dyDescent="0.25">
      <c r="A310" s="216" t="str">
        <f>'таланты+инициативы0,262'!A251</f>
        <v>Плинтус напольный с кабель-каналом Line Plast L048 Ироко 58мм*2,5м (40) L048 Ироко</v>
      </c>
      <c r="B310" s="296" t="str">
        <f>'инновации+добровольчество0,369'!B281</f>
        <v>шт</v>
      </c>
      <c r="C310" s="302"/>
      <c r="D310" s="390">
        <f>Лист1!C21*$A$286</f>
        <v>6.6419999999999995</v>
      </c>
      <c r="E310" s="448">
        <f>'таланты+инициативы0,262'!E251</f>
        <v>89</v>
      </c>
      <c r="F310" s="245">
        <f t="shared" si="11"/>
        <v>591.13799999999992</v>
      </c>
    </row>
    <row r="311" spans="1:6" ht="16.5" x14ac:dyDescent="0.25">
      <c r="A311" s="216" t="str">
        <f>'таланты+инициативы0,262'!A252</f>
        <v>Угол наружный Line Plast L048 Ироко 58мм</v>
      </c>
      <c r="B311" s="296" t="str">
        <f>'инновации+добровольчество0,369'!B282</f>
        <v>шт</v>
      </c>
      <c r="C311" s="302"/>
      <c r="D311" s="390">
        <f>Лист1!C22*$A$286</f>
        <v>4.4279999999999999</v>
      </c>
      <c r="E311" s="448">
        <f>'таланты+инициативы0,262'!E252</f>
        <v>15</v>
      </c>
      <c r="F311" s="245">
        <f t="shared" si="11"/>
        <v>66.42</v>
      </c>
    </row>
    <row r="312" spans="1:6" ht="16.5" x14ac:dyDescent="0.25">
      <c r="A312" s="216" t="str">
        <f>'таланты+инициативы0,262'!A253</f>
        <v>Угол внутренний Line Plast L048 Ироко 58мм</v>
      </c>
      <c r="B312" s="296" t="str">
        <f>'инновации+добровольчество0,369'!B283</f>
        <v>шт</v>
      </c>
      <c r="C312" s="302"/>
      <c r="D312" s="390">
        <f>Лист1!C23*$A$286</f>
        <v>4.4279999999999999</v>
      </c>
      <c r="E312" s="448">
        <f>'таланты+инициативы0,262'!E253</f>
        <v>15</v>
      </c>
      <c r="F312" s="245">
        <f t="shared" si="11"/>
        <v>66.42</v>
      </c>
    </row>
    <row r="313" spans="1:6" ht="16.5" x14ac:dyDescent="0.25">
      <c r="A313" s="216" t="str">
        <f>'таланты+инициативы0,262'!A254</f>
        <v>Соединитель Line Plast L048 Ироко 58мм (50)</v>
      </c>
      <c r="B313" s="169" t="s">
        <v>82</v>
      </c>
      <c r="C313" s="302"/>
      <c r="D313" s="390">
        <f>Лист1!C24*$A$286</f>
        <v>7.38</v>
      </c>
      <c r="E313" s="448">
        <f>'таланты+инициативы0,262'!E254</f>
        <v>15</v>
      </c>
      <c r="F313" s="245">
        <f t="shared" si="11"/>
        <v>110.7</v>
      </c>
    </row>
    <row r="314" spans="1:6" ht="16.5" x14ac:dyDescent="0.25">
      <c r="A314" s="216" t="str">
        <f>'таланты+инициативы0,262'!A255</f>
        <v>Торцевик Line Plast L048 Ироко левый 58мм (50)</v>
      </c>
      <c r="B314" s="169" t="s">
        <v>82</v>
      </c>
      <c r="C314" s="302"/>
      <c r="D314" s="390">
        <f>Лист1!C25*$A$286</f>
        <v>2.214</v>
      </c>
      <c r="E314" s="448">
        <f>'таланты+инициативы0,262'!E255</f>
        <v>15</v>
      </c>
      <c r="F314" s="245">
        <f t="shared" si="11"/>
        <v>33.21</v>
      </c>
    </row>
    <row r="315" spans="1:6" ht="16.5" x14ac:dyDescent="0.25">
      <c r="A315" s="216" t="str">
        <f>'таланты+инициативы0,262'!A256</f>
        <v>Торцевик Line Plast L048 Ироко правый 58мм (50)</v>
      </c>
      <c r="B315" s="169" t="s">
        <v>82</v>
      </c>
      <c r="C315" s="302"/>
      <c r="D315" s="390">
        <f>Лист1!C26*$A$286</f>
        <v>2.214</v>
      </c>
      <c r="E315" s="448">
        <f>'таланты+инициативы0,262'!E256</f>
        <v>15</v>
      </c>
      <c r="F315" s="245">
        <f t="shared" si="11"/>
        <v>33.21</v>
      </c>
    </row>
    <row r="316" spans="1:6" ht="16.5" x14ac:dyDescent="0.25">
      <c r="A316" s="216" t="str">
        <f>'таланты+инициативы0,262'!A257</f>
        <v>Карниз для штор гибкий ArtFlex белый 5,0м (11 хомутов, 50 крючков)</v>
      </c>
      <c r="B316" s="169" t="s">
        <v>82</v>
      </c>
      <c r="C316" s="302"/>
      <c r="D316" s="390">
        <f>Лист1!C27*$A$286</f>
        <v>0.36899999999999999</v>
      </c>
      <c r="E316" s="448">
        <f>'таланты+инициативы0,262'!E257</f>
        <v>1871</v>
      </c>
      <c r="F316" s="245">
        <f t="shared" ref="F316:F349" si="14">D316*E316</f>
        <v>690.399</v>
      </c>
    </row>
    <row r="317" spans="1:6" ht="16.5" x14ac:dyDescent="0.25">
      <c r="A317" s="216" t="str">
        <f>'таланты+инициативы0,262'!A258</f>
        <v>Выключатель Lezard Mira 1СП белый 701-0202-100 /10/120/</v>
      </c>
      <c r="B317" s="169" t="s">
        <v>82</v>
      </c>
      <c r="C317" s="302"/>
      <c r="D317" s="390">
        <f>Лист1!C28*$A$286</f>
        <v>0.73799999999999999</v>
      </c>
      <c r="E317" s="448">
        <f>'таланты+инициативы0,262'!E258</f>
        <v>195</v>
      </c>
      <c r="F317" s="245">
        <f t="shared" si="14"/>
        <v>143.91</v>
      </c>
    </row>
    <row r="318" spans="1:6" ht="16.5" x14ac:dyDescent="0.25">
      <c r="A318" s="216" t="str">
        <f>'таланты+инициативы0,262'!A259</f>
        <v xml:space="preserve">Клей Henkel Момент Столяр ПВА универсальный, 250гр </v>
      </c>
      <c r="B318" s="169" t="s">
        <v>82</v>
      </c>
      <c r="C318" s="302"/>
      <c r="D318" s="390">
        <f>Лист1!C29*$A$286</f>
        <v>0.36899999999999999</v>
      </c>
      <c r="E318" s="448">
        <f>'таланты+инициативы0,262'!E259</f>
        <v>169</v>
      </c>
      <c r="F318" s="245">
        <f t="shared" si="14"/>
        <v>62.360999999999997</v>
      </c>
    </row>
    <row r="319" spans="1:6" ht="16.5" x14ac:dyDescent="0.25">
      <c r="A319" s="216" t="str">
        <f>'таланты+инициативы0,262'!A260</f>
        <v>Порожек стык 1,8 мербау 37мм ПС03.1800.093</v>
      </c>
      <c r="B319" s="169" t="s">
        <v>82</v>
      </c>
      <c r="C319" s="302"/>
      <c r="D319" s="390">
        <f>Лист1!C30*$A$286</f>
        <v>0.73799999999999999</v>
      </c>
      <c r="E319" s="448">
        <f>'таланты+инициативы0,262'!E260</f>
        <v>300</v>
      </c>
      <c r="F319" s="245">
        <f t="shared" si="14"/>
        <v>221.4</v>
      </c>
    </row>
    <row r="320" spans="1:6" ht="16.5" x14ac:dyDescent="0.25">
      <c r="A320" s="216" t="str">
        <f>'таланты+инициативы0,262'!A261</f>
        <v>Брусок 50*50мм (3м)</v>
      </c>
      <c r="B320" s="169" t="s">
        <v>82</v>
      </c>
      <c r="C320" s="302"/>
      <c r="D320" s="390">
        <f>Лист1!C31*$A$286</f>
        <v>7.38</v>
      </c>
      <c r="E320" s="448">
        <f>'таланты+инициативы0,262'!E261</f>
        <v>290</v>
      </c>
      <c r="F320" s="245">
        <f t="shared" si="14"/>
        <v>2140.1999999999998</v>
      </c>
    </row>
    <row r="321" spans="1:6" ht="16.5" x14ac:dyDescent="0.25">
      <c r="A321" s="216" t="str">
        <f>'таланты+инициативы0,262'!A262</f>
        <v>Фанера березовая 6мм 1525*1525мм ФК сорт 4/4 нш</v>
      </c>
      <c r="B321" s="169" t="s">
        <v>82</v>
      </c>
      <c r="C321" s="302"/>
      <c r="D321" s="390">
        <f>Лист1!C32*$A$286</f>
        <v>2.214</v>
      </c>
      <c r="E321" s="448">
        <f>'таланты+инициативы0,262'!E262</f>
        <v>775</v>
      </c>
      <c r="F321" s="245">
        <f t="shared" si="14"/>
        <v>1715.85</v>
      </c>
    </row>
    <row r="322" spans="1:6" ht="16.5" x14ac:dyDescent="0.25">
      <c r="A322" s="216" t="str">
        <f>'таланты+инициативы0,262'!A263</f>
        <v>Фанера березовая 8мм 1525*1525мм ФК сорт 4/4 нш</v>
      </c>
      <c r="B322" s="169" t="s">
        <v>82</v>
      </c>
      <c r="C322" s="302"/>
      <c r="D322" s="390">
        <f>Лист1!C33*$A$286</f>
        <v>0.73799999999999999</v>
      </c>
      <c r="E322" s="448">
        <f>'таланты+инициативы0,262'!E263</f>
        <v>970</v>
      </c>
      <c r="F322" s="245">
        <f t="shared" si="14"/>
        <v>715.86</v>
      </c>
    </row>
    <row r="323" spans="1:6" ht="16.5" x14ac:dyDescent="0.25">
      <c r="A323" s="216" t="str">
        <f>'таланты+инициативы0,262'!A264</f>
        <v>Эмаль акр.для радиаторов отопления 1кг полуглянцевая (6) OLECOLOR</v>
      </c>
      <c r="B323" s="169" t="s">
        <v>82</v>
      </c>
      <c r="C323" s="302"/>
      <c r="D323" s="390">
        <f>Лист1!C34*$A$286</f>
        <v>0.73799999999999999</v>
      </c>
      <c r="E323" s="448">
        <f>'таланты+инициативы0,262'!E264</f>
        <v>420</v>
      </c>
      <c r="F323" s="245">
        <f t="shared" si="14"/>
        <v>309.95999999999998</v>
      </c>
    </row>
    <row r="324" spans="1:6" ht="16.5" x14ac:dyDescent="0.25">
      <c r="A324" s="216" t="str">
        <f>'таланты+инициативы0,262'!A265</f>
        <v>Лопата снеговая деревянная, 50*50см, с усиленной планкой, "Баба Яга"/1/</v>
      </c>
      <c r="B324" s="169" t="s">
        <v>82</v>
      </c>
      <c r="C324" s="302"/>
      <c r="D324" s="390">
        <f>Лист1!C35*$A$286</f>
        <v>0.36899999999999999</v>
      </c>
      <c r="E324" s="448">
        <f>'таланты+инициативы0,262'!E265</f>
        <v>400</v>
      </c>
      <c r="F324" s="245">
        <f t="shared" si="14"/>
        <v>147.6</v>
      </c>
    </row>
    <row r="325" spans="1:6" ht="30" x14ac:dyDescent="0.25">
      <c r="A325" s="216" t="str">
        <f>'таланты+инициативы0,262'!A266</f>
        <v>Лопата пласт 380*380мм, с алюминевой планкой, с алюмин.черенком и Д-образной ручкой (5) ЛА-06</v>
      </c>
      <c r="B325" s="169" t="s">
        <v>82</v>
      </c>
      <c r="C325" s="302"/>
      <c r="D325" s="390">
        <f>Лист1!C36*$A$286</f>
        <v>0.36899999999999999</v>
      </c>
      <c r="E325" s="448">
        <f>'таланты+инициативы0,262'!E266</f>
        <v>465</v>
      </c>
      <c r="F325" s="245">
        <f t="shared" si="14"/>
        <v>171.58500000000001</v>
      </c>
    </row>
    <row r="326" spans="1:6" ht="16.5" x14ac:dyDescent="0.25">
      <c r="A326" s="216" t="str">
        <f>'таланты+инициативы0,262'!A267</f>
        <v>Коробка распаячная КМР-030-031 с крышкой 8*80*50мм IP 54 EKF, серая /100/</v>
      </c>
      <c r="B326" s="169" t="s">
        <v>82</v>
      </c>
      <c r="C326" s="302"/>
      <c r="D326" s="390">
        <f>Лист1!C37*$A$286</f>
        <v>0.73799999999999999</v>
      </c>
      <c r="E326" s="448">
        <f>'таланты+инициативы0,262'!E267</f>
        <v>42</v>
      </c>
      <c r="F326" s="245">
        <f t="shared" si="14"/>
        <v>30.995999999999999</v>
      </c>
    </row>
    <row r="327" spans="1:6" ht="16.5" x14ac:dyDescent="0.25">
      <c r="A327" s="216" t="str">
        <f>'таланты+инициативы0,262'!A268</f>
        <v>Розетка "Пралеска"   2РА16-303 брызгозащищенная з/к /30/</v>
      </c>
      <c r="B327" s="169" t="s">
        <v>82</v>
      </c>
      <c r="C327" s="302"/>
      <c r="D327" s="390">
        <f>Лист1!C38*$A$286</f>
        <v>0.36899999999999999</v>
      </c>
      <c r="E327" s="448">
        <f>'таланты+инициативы0,262'!E268</f>
        <v>220</v>
      </c>
      <c r="F327" s="245">
        <f t="shared" si="14"/>
        <v>81.179999999999993</v>
      </c>
    </row>
    <row r="328" spans="1:6" ht="16.5" x14ac:dyDescent="0.25">
      <c r="A328" s="216" t="str">
        <f>'таланты+инициативы0,262'!A269</f>
        <v>Провод ВВГ 3*2,5</v>
      </c>
      <c r="B328" s="169" t="s">
        <v>82</v>
      </c>
      <c r="C328" s="302"/>
      <c r="D328" s="390">
        <f>Лист1!C39*$A$286</f>
        <v>3.69</v>
      </c>
      <c r="E328" s="448">
        <f>'таланты+инициативы0,262'!E269</f>
        <v>96</v>
      </c>
      <c r="F328" s="245">
        <f t="shared" si="14"/>
        <v>354.24</v>
      </c>
    </row>
    <row r="329" spans="1:6" ht="16.5" x14ac:dyDescent="0.25">
      <c r="A329" s="216" t="str">
        <f>'таланты+инициативы0,262'!A270</f>
        <v>Щиток защитный TUNDRA корпус пластик 4588909</v>
      </c>
      <c r="B329" s="169" t="s">
        <v>82</v>
      </c>
      <c r="C329" s="302"/>
      <c r="D329" s="390">
        <f>Лист1!C40*$A$286</f>
        <v>0.73799999999999999</v>
      </c>
      <c r="E329" s="448">
        <f>'таланты+инициативы0,262'!E270</f>
        <v>217</v>
      </c>
      <c r="F329" s="245">
        <f t="shared" si="14"/>
        <v>160.14599999999999</v>
      </c>
    </row>
    <row r="330" spans="1:6" ht="16.5" x14ac:dyDescent="0.25">
      <c r="A330" s="216" t="str">
        <f>'таланты+инициативы0,262'!A271</f>
        <v>Щиток защитный СИБИН с экраном из поликарбоната</v>
      </c>
      <c r="B330" s="169" t="s">
        <v>82</v>
      </c>
      <c r="C330" s="302"/>
      <c r="D330" s="390">
        <f>Лист1!C41*$A$286</f>
        <v>0.36899999999999999</v>
      </c>
      <c r="E330" s="448">
        <f>'таланты+инициативы0,262'!E271</f>
        <v>235</v>
      </c>
      <c r="F330" s="245">
        <f t="shared" si="14"/>
        <v>86.715000000000003</v>
      </c>
    </row>
    <row r="331" spans="1:6" ht="16.5" x14ac:dyDescent="0.25">
      <c r="A331" s="216" t="str">
        <f>'таланты+инициативы0,262'!A272</f>
        <v>Замок навесной  Чебоксары ВС-2 М1-02 /20/</v>
      </c>
      <c r="B331" s="169" t="s">
        <v>82</v>
      </c>
      <c r="C331" s="302"/>
      <c r="D331" s="390">
        <f>Лист1!C42*$A$286</f>
        <v>0.36899999999999999</v>
      </c>
      <c r="E331" s="448">
        <f>'таланты+инициативы0,262'!E272</f>
        <v>535</v>
      </c>
      <c r="F331" s="245">
        <f t="shared" si="14"/>
        <v>197.41499999999999</v>
      </c>
    </row>
    <row r="332" spans="1:6" ht="16.5" x14ac:dyDescent="0.25">
      <c r="A332" s="216" t="str">
        <f>'таланты+инициативы0,262'!A273</f>
        <v>Фанера 10 мм (1525х1525) водостойкая , сорт 4/4 , н/ш (2,325 м2)</v>
      </c>
      <c r="B332" s="169" t="s">
        <v>82</v>
      </c>
      <c r="C332" s="302"/>
      <c r="D332" s="390">
        <f>Лист1!C43*$A$286</f>
        <v>0.73799999999999999</v>
      </c>
      <c r="E332" s="448">
        <f>'таланты+инициативы0,262'!E273</f>
        <v>1475</v>
      </c>
      <c r="F332" s="245">
        <f t="shared" si="14"/>
        <v>1088.55</v>
      </c>
    </row>
    <row r="333" spans="1:6" ht="16.5" x14ac:dyDescent="0.25">
      <c r="A333" s="216" t="str">
        <f>'таланты+инициативы0,262'!A274</f>
        <v>Гайка шестигранная цинк DIN 934 М10 (300шт.)</v>
      </c>
      <c r="B333" s="169" t="s">
        <v>82</v>
      </c>
      <c r="C333" s="302"/>
      <c r="D333" s="390">
        <f>Лист1!C44*$A$286</f>
        <v>2.952</v>
      </c>
      <c r="E333" s="448">
        <f>'таланты+инициативы0,262'!E274</f>
        <v>4</v>
      </c>
      <c r="F333" s="245">
        <f t="shared" si="14"/>
        <v>11.808</v>
      </c>
    </row>
    <row r="334" spans="1:6" ht="16.5" x14ac:dyDescent="0.25">
      <c r="A334" s="216" t="str">
        <f>'таланты+инициативы0,262'!A275</f>
        <v>Шайба плоская узкая цинк DIN 125 М12 (500шт.)</v>
      </c>
      <c r="B334" s="169" t="s">
        <v>82</v>
      </c>
      <c r="C334" s="302"/>
      <c r="D334" s="390">
        <f>Лист1!C45*$A$286</f>
        <v>2.952</v>
      </c>
      <c r="E334" s="448">
        <f>'таланты+инициативы0,262'!E275</f>
        <v>3</v>
      </c>
      <c r="F334" s="245">
        <f t="shared" si="14"/>
        <v>8.8559999999999999</v>
      </c>
    </row>
    <row r="335" spans="1:6" ht="16.5" x14ac:dyDescent="0.25">
      <c r="A335" s="216" t="str">
        <f>'таланты+инициативы0,262'!A276</f>
        <v>Шайба пружинная гроверная цинк DIN 127 М12 (500шт.)</v>
      </c>
      <c r="B335" s="169" t="s">
        <v>82</v>
      </c>
      <c r="C335" s="302"/>
      <c r="D335" s="390">
        <f>Лист1!C46*$A$286</f>
        <v>2.952</v>
      </c>
      <c r="E335" s="448">
        <f>'таланты+инициативы0,262'!E276</f>
        <v>1.5</v>
      </c>
      <c r="F335" s="245">
        <f t="shared" si="14"/>
        <v>4.4279999999999999</v>
      </c>
    </row>
    <row r="336" spans="1:6" ht="16.5" x14ac:dyDescent="0.25">
      <c r="A336" s="216" t="str">
        <f>'таланты+инициативы0,262'!A277</f>
        <v>Дюбель усиленный 5х40 + саморез головка потай желтый цинк 3,5х45 (20шт)</v>
      </c>
      <c r="B336" s="169" t="s">
        <v>82</v>
      </c>
      <c r="C336" s="302"/>
      <c r="D336" s="390">
        <f>Лист1!C47*$A$286</f>
        <v>0.36899999999999999</v>
      </c>
      <c r="E336" s="448">
        <f>'таланты+инициативы0,262'!E277</f>
        <v>50</v>
      </c>
      <c r="F336" s="245">
        <f t="shared" si="14"/>
        <v>18.45</v>
      </c>
    </row>
    <row r="337" spans="1:6" ht="16.5" x14ac:dyDescent="0.25">
      <c r="A337" s="216" t="str">
        <f>'таланты+инициативы0,262'!A278</f>
        <v>Дюбель усиленный 6х25 + саморез головка потай желтый цинк 4,0х30 (20шт)</v>
      </c>
      <c r="B337" s="169" t="s">
        <v>82</v>
      </c>
      <c r="C337" s="302"/>
      <c r="D337" s="390">
        <f>Лист1!C48*$A$286</f>
        <v>0.36899999999999999</v>
      </c>
      <c r="E337" s="448">
        <f>'таланты+инициативы0,262'!E278</f>
        <v>50</v>
      </c>
      <c r="F337" s="245">
        <f t="shared" si="14"/>
        <v>18.45</v>
      </c>
    </row>
    <row r="338" spans="1:6" ht="16.5" x14ac:dyDescent="0.25">
      <c r="A338" s="216" t="str">
        <f>'таланты+инициативы0,262'!A279</f>
        <v>Дюбель усиленный 5х30 + саморез головка потай желтый цинк 3,0х35 (24шт)</v>
      </c>
      <c r="B338" s="169" t="s">
        <v>82</v>
      </c>
      <c r="C338" s="302"/>
      <c r="D338" s="390">
        <f>Лист1!C49*$A$286</f>
        <v>0.36899999999999999</v>
      </c>
      <c r="E338" s="448">
        <f>'таланты+инициативы0,262'!E279</f>
        <v>50</v>
      </c>
      <c r="F338" s="245">
        <f t="shared" si="14"/>
        <v>18.45</v>
      </c>
    </row>
    <row r="339" spans="1:6" ht="16.5" x14ac:dyDescent="0.25">
      <c r="A339" s="216" t="str">
        <f>'таланты+инициативы0,262'!A280</f>
        <v>Кабель-канал ПВХ 12*12 (100) SQ0408-0501</v>
      </c>
      <c r="B339" s="169" t="s">
        <v>82</v>
      </c>
      <c r="C339" s="302"/>
      <c r="D339" s="390">
        <f>Лист1!C50*$A$286</f>
        <v>0.36899999999999999</v>
      </c>
      <c r="E339" s="448">
        <f>'таланты+инициативы0,262'!E280</f>
        <v>54</v>
      </c>
      <c r="F339" s="245">
        <f t="shared" si="14"/>
        <v>19.925999999999998</v>
      </c>
    </row>
    <row r="340" spans="1:6" ht="16.5" x14ac:dyDescent="0.25">
      <c r="A340" s="216" t="str">
        <f>'таланты+инициативы0,262'!A281</f>
        <v>Кабель-канал ПВХ 20*10 (80) SQ0408-0503</v>
      </c>
      <c r="B340" s="169" t="s">
        <v>82</v>
      </c>
      <c r="C340" s="302"/>
      <c r="D340" s="390">
        <f>Лист1!C51*$A$286</f>
        <v>0.36899999999999999</v>
      </c>
      <c r="E340" s="448">
        <f>'таланты+инициативы0,262'!E281</f>
        <v>46</v>
      </c>
      <c r="F340" s="245">
        <f t="shared" si="14"/>
        <v>16.974</v>
      </c>
    </row>
    <row r="341" spans="1:6" ht="16.5" x14ac:dyDescent="0.25">
      <c r="A341" s="216" t="str">
        <f>'таланты+инициативы0,262'!A282</f>
        <v>Хомут  червячный "MGF" 16-27мм /50/</v>
      </c>
      <c r="B341" s="169" t="s">
        <v>82</v>
      </c>
      <c r="C341" s="302"/>
      <c r="D341" s="390">
        <f>Лист1!C52*$A$286</f>
        <v>0.73799999999999999</v>
      </c>
      <c r="E341" s="448">
        <f>'таланты+инициативы0,262'!E282</f>
        <v>18</v>
      </c>
      <c r="F341" s="245">
        <f t="shared" si="14"/>
        <v>13.283999999999999</v>
      </c>
    </row>
    <row r="342" spans="1:6" ht="16.5" x14ac:dyDescent="0.25">
      <c r="A342" s="216" t="str">
        <f>'таланты+инициативы0,262'!A283</f>
        <v>Переходник (штуцер) LEXLINE на р/шл 1/2 нар-20, латунь /10/</v>
      </c>
      <c r="B342" s="169" t="s">
        <v>82</v>
      </c>
      <c r="C342" s="302"/>
      <c r="D342" s="390">
        <f>Лист1!C53*$A$286</f>
        <v>0.36899999999999999</v>
      </c>
      <c r="E342" s="448">
        <f>'таланты+инициативы0,262'!E283</f>
        <v>80</v>
      </c>
      <c r="F342" s="245">
        <f t="shared" si="14"/>
        <v>29.52</v>
      </c>
    </row>
    <row r="343" spans="1:6" ht="16.5" x14ac:dyDescent="0.25">
      <c r="A343" s="216" t="str">
        <f>'таланты+инициативы0,262'!A284</f>
        <v>Флянец хвостовика</v>
      </c>
      <c r="B343" s="169" t="s">
        <v>82</v>
      </c>
      <c r="C343" s="302"/>
      <c r="D343" s="390">
        <f>Лист1!C54*$A$286</f>
        <v>0.73799999999999999</v>
      </c>
      <c r="E343" s="448">
        <f>'таланты+инициативы0,262'!E284</f>
        <v>785</v>
      </c>
      <c r="F343" s="245">
        <f t="shared" si="14"/>
        <v>579.33000000000004</v>
      </c>
    </row>
    <row r="344" spans="1:6" ht="16.5" x14ac:dyDescent="0.25">
      <c r="A344" s="216" t="str">
        <f>'таланты+инициативы0,262'!A285</f>
        <v>Датчик коленвала</v>
      </c>
      <c r="B344" s="169" t="s">
        <v>82</v>
      </c>
      <c r="C344" s="302"/>
      <c r="D344" s="390">
        <f>Лист1!C55*$A$286</f>
        <v>0.36899999999999999</v>
      </c>
      <c r="E344" s="448">
        <f>'таланты+инициативы0,262'!E285</f>
        <v>650</v>
      </c>
      <c r="F344" s="245">
        <f t="shared" si="14"/>
        <v>239.85</v>
      </c>
    </row>
    <row r="345" spans="1:6" ht="16.5" x14ac:dyDescent="0.25">
      <c r="A345" s="216" t="str">
        <f>'таланты+инициативы0,262'!A286</f>
        <v>пусковые провода</v>
      </c>
      <c r="B345" s="169" t="s">
        <v>82</v>
      </c>
      <c r="C345" s="302"/>
      <c r="D345" s="390">
        <f>Лист1!C56*$A$286</f>
        <v>0.36899999999999999</v>
      </c>
      <c r="E345" s="448">
        <f>'таланты+инициативы0,262'!E286</f>
        <v>500</v>
      </c>
      <c r="F345" s="245">
        <f t="shared" si="14"/>
        <v>184.5</v>
      </c>
    </row>
    <row r="346" spans="1:6" ht="16.5" x14ac:dyDescent="0.25">
      <c r="A346" s="216" t="str">
        <f>'таланты+инициативы0,262'!A287</f>
        <v>маска медицинская</v>
      </c>
      <c r="B346" s="169" t="s">
        <v>82</v>
      </c>
      <c r="C346" s="302"/>
      <c r="D346" s="390">
        <f>Лист1!C57*$A$286</f>
        <v>2214</v>
      </c>
      <c r="E346" s="448">
        <f>'таланты+инициативы0,262'!E287</f>
        <v>2.8</v>
      </c>
      <c r="F346" s="245">
        <f t="shared" si="14"/>
        <v>6199.2</v>
      </c>
    </row>
    <row r="347" spans="1:6" ht="16.5" x14ac:dyDescent="0.25">
      <c r="A347" s="216" t="str">
        <f>'таланты+инициативы0,262'!A288</f>
        <v>Бумага10*15 глянец 180 гр</v>
      </c>
      <c r="B347" s="169" t="s">
        <v>82</v>
      </c>
      <c r="C347" s="302"/>
      <c r="D347" s="390">
        <f>Лист1!C58*$A$286</f>
        <v>1.476</v>
      </c>
      <c r="E347" s="448">
        <f>'таланты+инициативы0,262'!E288</f>
        <v>910</v>
      </c>
      <c r="F347" s="245">
        <f t="shared" si="14"/>
        <v>1343.16</v>
      </c>
    </row>
    <row r="348" spans="1:6" ht="16.5" x14ac:dyDescent="0.25">
      <c r="A348" s="216" t="str">
        <f>'таланты+инициативы0,262'!A289</f>
        <v>Бумага А4</v>
      </c>
      <c r="B348" s="169" t="s">
        <v>82</v>
      </c>
      <c r="C348" s="302"/>
      <c r="D348" s="390">
        <f>Лист1!C59*$A$286</f>
        <v>23.984999999999999</v>
      </c>
      <c r="E348" s="448">
        <f>'таланты+инициативы0,262'!E289</f>
        <v>290</v>
      </c>
      <c r="F348" s="245">
        <f t="shared" si="14"/>
        <v>6955.65</v>
      </c>
    </row>
    <row r="349" spans="1:6" ht="16.5" x14ac:dyDescent="0.25">
      <c r="A349" s="216" t="str">
        <f>'таланты+инициативы0,262'!A290</f>
        <v>планшет</v>
      </c>
      <c r="B349" s="169" t="s">
        <v>82</v>
      </c>
      <c r="C349" s="302"/>
      <c r="D349" s="390">
        <f>Лист1!C60*$A$286</f>
        <v>3.69</v>
      </c>
      <c r="E349" s="448">
        <f>'таланты+инициативы0,262'!E290</f>
        <v>95</v>
      </c>
      <c r="F349" s="245">
        <f t="shared" si="14"/>
        <v>350.55</v>
      </c>
    </row>
    <row r="350" spans="1:6" ht="16.5" x14ac:dyDescent="0.25">
      <c r="A350" s="216" t="str">
        <f>'таланты+инициативы0,262'!A291</f>
        <v>Бумага А4 цвет</v>
      </c>
      <c r="B350" s="169" t="s">
        <v>82</v>
      </c>
      <c r="C350" s="302"/>
      <c r="D350" s="390">
        <f>Лист1!C61*$A$286</f>
        <v>1.845</v>
      </c>
      <c r="E350" s="448">
        <f>'таланты+инициативы0,262'!E291</f>
        <v>949</v>
      </c>
      <c r="F350" s="245">
        <f t="shared" ref="F350:F393" si="15">D350*E350</f>
        <v>1750.905</v>
      </c>
    </row>
    <row r="351" spans="1:6" ht="16.5" x14ac:dyDescent="0.25">
      <c r="A351" s="216" t="str">
        <f>'таланты+инициативы0,262'!A292</f>
        <v>Бумага 10*15 матовая</v>
      </c>
      <c r="B351" s="169" t="s">
        <v>82</v>
      </c>
      <c r="C351" s="302"/>
      <c r="D351" s="390">
        <f>Лист1!C62*$A$286</f>
        <v>1.476</v>
      </c>
      <c r="E351" s="448">
        <f>'таланты+инициативы0,262'!E292</f>
        <v>790</v>
      </c>
      <c r="F351" s="245">
        <f t="shared" si="15"/>
        <v>1166.04</v>
      </c>
    </row>
    <row r="352" spans="1:6" ht="16.5" x14ac:dyDescent="0.25">
      <c r="A352" s="216" t="str">
        <f>'таланты+инициативы0,262'!A293</f>
        <v>Бумага 10*15 глянец 230 гр</v>
      </c>
      <c r="B352" s="169" t="s">
        <v>82</v>
      </c>
      <c r="C352" s="302"/>
      <c r="D352" s="390">
        <f>Лист1!C63*$A$286</f>
        <v>1.476</v>
      </c>
      <c r="E352" s="448">
        <f>'таланты+инициативы0,262'!E293</f>
        <v>1040</v>
      </c>
      <c r="F352" s="245">
        <f t="shared" si="15"/>
        <v>1535.04</v>
      </c>
    </row>
    <row r="353" spans="1:6" ht="16.5" x14ac:dyDescent="0.25">
      <c r="A353" s="216" t="str">
        <f>'таланты+инициативы0,262'!A294</f>
        <v>Бумага А4 глянец 230 гр</v>
      </c>
      <c r="B353" s="169" t="s">
        <v>82</v>
      </c>
      <c r="C353" s="302"/>
      <c r="D353" s="390">
        <f>Лист1!C64*$A$286</f>
        <v>3.69</v>
      </c>
      <c r="E353" s="448">
        <f>'таланты+инициативы0,262'!E294</f>
        <v>790</v>
      </c>
      <c r="F353" s="245">
        <f t="shared" si="15"/>
        <v>2915.1</v>
      </c>
    </row>
    <row r="354" spans="1:6" ht="16.5" x14ac:dyDescent="0.25">
      <c r="A354" s="216" t="str">
        <f>'таланты+инициативы0,262'!A295</f>
        <v>Бумага А4 матовая 160 гр</v>
      </c>
      <c r="B354" s="169" t="s">
        <v>82</v>
      </c>
      <c r="C354" s="302"/>
      <c r="D354" s="390">
        <f>Лист1!C65*$A$286</f>
        <v>3.69</v>
      </c>
      <c r="E354" s="448">
        <f>'таланты+инициативы0,262'!E295</f>
        <v>680</v>
      </c>
      <c r="F354" s="245">
        <f t="shared" si="15"/>
        <v>2509.1999999999998</v>
      </c>
    </row>
    <row r="355" spans="1:6" ht="16.5" x14ac:dyDescent="0.25">
      <c r="A355" s="216" t="str">
        <f>'таланты+инициативы0,262'!A296</f>
        <v>Бумага А4 матовая 230 гр</v>
      </c>
      <c r="B355" s="169" t="s">
        <v>82</v>
      </c>
      <c r="C355" s="302"/>
      <c r="D355" s="390">
        <f>Лист1!C66*$A$286</f>
        <v>3.69</v>
      </c>
      <c r="E355" s="448">
        <f>'таланты+инициативы0,262'!E296</f>
        <v>490</v>
      </c>
      <c r="F355" s="245">
        <f t="shared" si="15"/>
        <v>1808.1</v>
      </c>
    </row>
    <row r="356" spans="1:6" ht="16.5" x14ac:dyDescent="0.25">
      <c r="A356" s="216" t="str">
        <f>'таланты+инициативы0,262'!A297</f>
        <v>Бумага А4 глянец 240 гр</v>
      </c>
      <c r="B356" s="169" t="s">
        <v>82</v>
      </c>
      <c r="C356" s="302"/>
      <c r="D356" s="390">
        <f>Лист1!C67*$A$286</f>
        <v>3.69</v>
      </c>
      <c r="E356" s="448">
        <f>'таланты+инициативы0,262'!E297</f>
        <v>745</v>
      </c>
      <c r="F356" s="245">
        <f t="shared" si="15"/>
        <v>2749.05</v>
      </c>
    </row>
    <row r="357" spans="1:6" ht="16.5" x14ac:dyDescent="0.25">
      <c r="A357" s="216" t="str">
        <f>'таланты+инициативы0,262'!A298</f>
        <v>скотч 72*56</v>
      </c>
      <c r="B357" s="169" t="s">
        <v>82</v>
      </c>
      <c r="C357" s="302"/>
      <c r="D357" s="390">
        <f>Лист1!C68*$A$286</f>
        <v>7.38</v>
      </c>
      <c r="E357" s="448">
        <f>'таланты+инициативы0,262'!E298</f>
        <v>100</v>
      </c>
      <c r="F357" s="245">
        <f t="shared" si="15"/>
        <v>738</v>
      </c>
    </row>
    <row r="358" spans="1:6" ht="16.5" x14ac:dyDescent="0.25">
      <c r="A358" s="216" t="str">
        <f>'таланты+инициативы0,262'!A299</f>
        <v>скотч 48*100</v>
      </c>
      <c r="B358" s="169" t="s">
        <v>82</v>
      </c>
      <c r="C358" s="302"/>
      <c r="D358" s="390">
        <f>Лист1!C69*$A$286</f>
        <v>7.38</v>
      </c>
      <c r="E358" s="448">
        <f>'таланты+инициативы0,262'!E299</f>
        <v>90</v>
      </c>
      <c r="F358" s="245">
        <f t="shared" si="15"/>
        <v>664.2</v>
      </c>
    </row>
    <row r="359" spans="1:6" ht="16.5" x14ac:dyDescent="0.25">
      <c r="A359" s="216" t="str">
        <f>'таланты+инициативы0,262'!A300</f>
        <v>блок самоклей</v>
      </c>
      <c r="B359" s="169" t="s">
        <v>82</v>
      </c>
      <c r="C359" s="302"/>
      <c r="D359" s="390">
        <f>Лист1!C70*$A$286</f>
        <v>1.845</v>
      </c>
      <c r="E359" s="448">
        <f>'таланты+инициативы0,262'!E300</f>
        <v>290</v>
      </c>
      <c r="F359" s="245">
        <f t="shared" si="15"/>
        <v>535.04999999999995</v>
      </c>
    </row>
    <row r="360" spans="1:6" ht="16.5" x14ac:dyDescent="0.25">
      <c r="A360" s="216" t="str">
        <f>'таланты+инициативы0,262'!A301</f>
        <v>папка-регистратор</v>
      </c>
      <c r="B360" s="169" t="s">
        <v>82</v>
      </c>
      <c r="C360" s="302"/>
      <c r="D360" s="390">
        <f>Лист1!C71*$A$286</f>
        <v>14.76</v>
      </c>
      <c r="E360" s="448">
        <f>'таланты+инициативы0,262'!E301</f>
        <v>200</v>
      </c>
      <c r="F360" s="245">
        <f t="shared" si="15"/>
        <v>2952</v>
      </c>
    </row>
    <row r="361" spans="1:6" ht="16.5" x14ac:dyDescent="0.25">
      <c r="A361" s="216" t="str">
        <f>'таланты+инициативы0,262'!A302</f>
        <v>картон белый</v>
      </c>
      <c r="B361" s="169" t="s">
        <v>82</v>
      </c>
      <c r="C361" s="302"/>
      <c r="D361" s="390">
        <f>Лист1!C72*$A$286</f>
        <v>3.69</v>
      </c>
      <c r="E361" s="448">
        <f>'таланты+инициативы0,262'!E302</f>
        <v>350</v>
      </c>
      <c r="F361" s="245">
        <f t="shared" si="15"/>
        <v>1291.5</v>
      </c>
    </row>
    <row r="362" spans="1:6" ht="16.5" x14ac:dyDescent="0.25">
      <c r="A362" s="216" t="str">
        <f>'таланты+инициативы0,262'!A303</f>
        <v>пружина 51 мм</v>
      </c>
      <c r="B362" s="169" t="s">
        <v>82</v>
      </c>
      <c r="C362" s="302"/>
      <c r="D362" s="390">
        <f>Лист1!C73*$A$286</f>
        <v>7.38</v>
      </c>
      <c r="E362" s="448">
        <f>'таланты+инициативы0,262'!E303</f>
        <v>50</v>
      </c>
      <c r="F362" s="245">
        <f t="shared" si="15"/>
        <v>369</v>
      </c>
    </row>
    <row r="363" spans="1:6" ht="16.5" x14ac:dyDescent="0.25">
      <c r="A363" s="216" t="str">
        <f>'таланты+инициативы0,262'!A304</f>
        <v>скотч 15 мм</v>
      </c>
      <c r="B363" s="169" t="s">
        <v>82</v>
      </c>
      <c r="C363" s="302"/>
      <c r="D363" s="390">
        <f>Лист1!C74*$A$286</f>
        <v>18.45</v>
      </c>
      <c r="E363" s="448">
        <f>'таланты+инициативы0,262'!E304</f>
        <v>15</v>
      </c>
      <c r="F363" s="245">
        <f t="shared" si="15"/>
        <v>276.75</v>
      </c>
    </row>
    <row r="364" spans="1:6" ht="16.5" x14ac:dyDescent="0.25">
      <c r="A364" s="216" t="str">
        <f>'таланты+инициативы0,262'!A305</f>
        <v>бейдж</v>
      </c>
      <c r="B364" s="169" t="s">
        <v>82</v>
      </c>
      <c r="C364" s="302"/>
      <c r="D364" s="390">
        <f>Лист1!C75*$A$286</f>
        <v>7.38</v>
      </c>
      <c r="E364" s="448">
        <f>'таланты+инициативы0,262'!E305</f>
        <v>50</v>
      </c>
      <c r="F364" s="245">
        <f t="shared" si="15"/>
        <v>369</v>
      </c>
    </row>
    <row r="365" spans="1:6" ht="16.5" x14ac:dyDescent="0.25">
      <c r="A365" s="216" t="str">
        <f>'таланты+инициативы0,262'!A306</f>
        <v>шнурок для бейджа</v>
      </c>
      <c r="B365" s="169" t="s">
        <v>82</v>
      </c>
      <c r="C365" s="302"/>
      <c r="D365" s="390">
        <f>Лист1!C76*$A$286</f>
        <v>7.38</v>
      </c>
      <c r="E365" s="448">
        <f>'таланты+инициативы0,262'!E306</f>
        <v>20</v>
      </c>
      <c r="F365" s="245">
        <f t="shared" si="15"/>
        <v>147.6</v>
      </c>
    </row>
    <row r="366" spans="1:6" ht="16.5" x14ac:dyDescent="0.25">
      <c r="A366" s="216" t="str">
        <f>'таланты+инициативы0,262'!A307</f>
        <v>блокнот для флипчарта</v>
      </c>
      <c r="B366" s="169" t="s">
        <v>82</v>
      </c>
      <c r="C366" s="302"/>
      <c r="D366" s="390">
        <f>Лист1!C77*$A$286</f>
        <v>1.845</v>
      </c>
      <c r="E366" s="448">
        <f>'таланты+инициативы0,262'!E307</f>
        <v>320</v>
      </c>
      <c r="F366" s="245">
        <f t="shared" si="15"/>
        <v>590.4</v>
      </c>
    </row>
    <row r="367" spans="1:6" ht="16.5" x14ac:dyDescent="0.25">
      <c r="A367" s="216" t="str">
        <f>'таланты+инициативы0,262'!A308</f>
        <v>бумага писчая</v>
      </c>
      <c r="B367" s="169" t="s">
        <v>82</v>
      </c>
      <c r="C367" s="302"/>
      <c r="D367" s="390">
        <f>Лист1!C78*$A$286</f>
        <v>3.69</v>
      </c>
      <c r="E367" s="448">
        <f>'таланты+инициативы0,262'!E308</f>
        <v>285</v>
      </c>
      <c r="F367" s="245">
        <f t="shared" si="15"/>
        <v>1051.6500000000001</v>
      </c>
    </row>
    <row r="368" spans="1:6" ht="16.5" x14ac:dyDescent="0.25">
      <c r="A368" s="216" t="str">
        <f>'таланты+инициативы0,262'!A309</f>
        <v>фоторамка дерево</v>
      </c>
      <c r="B368" s="169" t="s">
        <v>82</v>
      </c>
      <c r="C368" s="302"/>
      <c r="D368" s="390">
        <f>Лист1!C79*$A$286</f>
        <v>36.9</v>
      </c>
      <c r="E368" s="448">
        <f>'таланты+инициативы0,262'!E309</f>
        <v>135</v>
      </c>
      <c r="F368" s="245">
        <f t="shared" si="15"/>
        <v>4981.5</v>
      </c>
    </row>
    <row r="369" spans="1:6" ht="16.5" x14ac:dyDescent="0.25">
      <c r="A369" s="216" t="str">
        <f>'таланты+инициативы0,262'!A310</f>
        <v>фоторамка пластик</v>
      </c>
      <c r="B369" s="169" t="s">
        <v>82</v>
      </c>
      <c r="C369" s="302"/>
      <c r="D369" s="390">
        <f>Лист1!C80*$A$286</f>
        <v>27.675000000000001</v>
      </c>
      <c r="E369" s="448">
        <f>'таланты+инициативы0,262'!E310</f>
        <v>150</v>
      </c>
      <c r="F369" s="245">
        <f t="shared" si="15"/>
        <v>4151.25</v>
      </c>
    </row>
    <row r="370" spans="1:6" ht="16.5" x14ac:dyDescent="0.25">
      <c r="A370" s="216" t="str">
        <f>'таланты+инициативы0,262'!A311</f>
        <v>фоторамка пластик</v>
      </c>
      <c r="B370" s="169" t="s">
        <v>82</v>
      </c>
      <c r="C370" s="302"/>
      <c r="D370" s="390">
        <f>Лист1!C81*$A$286</f>
        <v>27.675000000000001</v>
      </c>
      <c r="E370" s="448">
        <f>'таланты+инициативы0,262'!E311</f>
        <v>165</v>
      </c>
      <c r="F370" s="245">
        <f t="shared" si="15"/>
        <v>4566.375</v>
      </c>
    </row>
    <row r="371" spans="1:6" ht="16.5" x14ac:dyDescent="0.25">
      <c r="A371" s="216" t="str">
        <f>'таланты+инициативы0,262'!A312</f>
        <v>батарейка ААА 24 шт /уп</v>
      </c>
      <c r="B371" s="169" t="s">
        <v>82</v>
      </c>
      <c r="C371" s="302"/>
      <c r="D371" s="390">
        <f>Лист1!C82*$A$286</f>
        <v>1.107</v>
      </c>
      <c r="E371" s="448">
        <f>'таланты+инициативы0,262'!E312</f>
        <v>665</v>
      </c>
      <c r="F371" s="245">
        <f t="shared" si="15"/>
        <v>736.15499999999997</v>
      </c>
    </row>
    <row r="372" spans="1:6" ht="16.5" x14ac:dyDescent="0.25">
      <c r="A372" s="216" t="str">
        <f>'таланты+инициативы0,262'!A313</f>
        <v>батарейка ААА 12 шт /уп</v>
      </c>
      <c r="B372" s="169" t="s">
        <v>82</v>
      </c>
      <c r="C372" s="302"/>
      <c r="D372" s="390">
        <f>Лист1!C83*$A$286</f>
        <v>0.73799999999999999</v>
      </c>
      <c r="E372" s="448">
        <f>'таланты+инициативы0,262'!E313</f>
        <v>1025</v>
      </c>
      <c r="F372" s="245">
        <f t="shared" si="15"/>
        <v>756.45</v>
      </c>
    </row>
    <row r="373" spans="1:6" ht="16.5" x14ac:dyDescent="0.25">
      <c r="A373" s="216" t="str">
        <f>'таланты+инициативы0,262'!A314</f>
        <v>батарейка АА 24 шт /уп</v>
      </c>
      <c r="B373" s="169" t="s">
        <v>82</v>
      </c>
      <c r="C373" s="302"/>
      <c r="D373" s="390">
        <f>Лист1!C84*$A$286</f>
        <v>0.73799999999999999</v>
      </c>
      <c r="E373" s="448">
        <f>'таланты+инициативы0,262'!E314</f>
        <v>510</v>
      </c>
      <c r="F373" s="245">
        <f t="shared" si="15"/>
        <v>376.38</v>
      </c>
    </row>
    <row r="374" spans="1:6" ht="16.5" x14ac:dyDescent="0.25">
      <c r="A374" s="216" t="str">
        <f>'таланты+инициативы0,262'!A315</f>
        <v>батарейка АА 18 шт /уп</v>
      </c>
      <c r="B374" s="169" t="s">
        <v>82</v>
      </c>
      <c r="C374" s="302"/>
      <c r="D374" s="390">
        <f>Лист1!C85*$A$286</f>
        <v>1.107</v>
      </c>
      <c r="E374" s="448">
        <f>'таланты+инициативы0,262'!E315</f>
        <v>950</v>
      </c>
      <c r="F374" s="245">
        <f t="shared" si="15"/>
        <v>1051.6500000000001</v>
      </c>
    </row>
    <row r="375" spans="1:6" ht="16.5" x14ac:dyDescent="0.25">
      <c r="A375" s="216" t="str">
        <f>'таланты+инициативы0,262'!A316</f>
        <v xml:space="preserve">вилка </v>
      </c>
      <c r="B375" s="169" t="s">
        <v>82</v>
      </c>
      <c r="C375" s="302"/>
      <c r="D375" s="390">
        <f>Лист1!C86*$A$286</f>
        <v>1.107</v>
      </c>
      <c r="E375" s="448">
        <f>'таланты+инициативы0,262'!E316</f>
        <v>90</v>
      </c>
      <c r="F375" s="245">
        <f t="shared" si="15"/>
        <v>99.63</v>
      </c>
    </row>
    <row r="376" spans="1:6" ht="16.5" x14ac:dyDescent="0.25">
      <c r="A376" s="216" t="str">
        <f>'таланты+инициативы0,262'!A317</f>
        <v>четверник</v>
      </c>
      <c r="B376" s="169" t="s">
        <v>82</v>
      </c>
      <c r="C376" s="302"/>
      <c r="D376" s="390">
        <f>Лист1!C87*$A$286</f>
        <v>0.36899999999999999</v>
      </c>
      <c r="E376" s="448">
        <f>'таланты+инициативы0,262'!E317</f>
        <v>220</v>
      </c>
      <c r="F376" s="245">
        <f t="shared" si="15"/>
        <v>81.179999999999993</v>
      </c>
    </row>
    <row r="377" spans="1:6" ht="16.5" x14ac:dyDescent="0.25">
      <c r="A377" s="216" t="str">
        <f>'таланты+инициативы0,262'!A318</f>
        <v>четверник</v>
      </c>
      <c r="B377" s="169" t="s">
        <v>82</v>
      </c>
      <c r="C377" s="302"/>
      <c r="D377" s="390">
        <f>Лист1!C88*$A$286</f>
        <v>0.36899999999999999</v>
      </c>
      <c r="E377" s="448">
        <f>'таланты+инициативы0,262'!E318</f>
        <v>164</v>
      </c>
      <c r="F377" s="245">
        <f t="shared" si="15"/>
        <v>60.515999999999998</v>
      </c>
    </row>
    <row r="378" spans="1:6" ht="16.5" x14ac:dyDescent="0.25">
      <c r="A378" s="216" t="str">
        <f>'таланты+инициативы0,262'!A319</f>
        <v>пугнп</v>
      </c>
      <c r="B378" s="169" t="s">
        <v>82</v>
      </c>
      <c r="C378" s="302"/>
      <c r="D378" s="390">
        <f>Лист1!C89*$A$286</f>
        <v>11.808</v>
      </c>
      <c r="E378" s="448">
        <f>'таланты+инициативы0,262'!E319</f>
        <v>47</v>
      </c>
      <c r="F378" s="245">
        <f t="shared" si="15"/>
        <v>554.976</v>
      </c>
    </row>
    <row r="379" spans="1:6" ht="16.5" x14ac:dyDescent="0.25">
      <c r="A379" s="216" t="str">
        <f>'таланты+инициативы0,262'!A320</f>
        <v>лампа накаливания</v>
      </c>
      <c r="B379" s="169" t="s">
        <v>82</v>
      </c>
      <c r="C379" s="302"/>
      <c r="D379" s="390">
        <f>Лист1!C90*$A$286</f>
        <v>2.5830000000000002</v>
      </c>
      <c r="E379" s="448">
        <f>'таланты+инициативы0,262'!E320</f>
        <v>34</v>
      </c>
      <c r="F379" s="245">
        <f t="shared" si="15"/>
        <v>87.822000000000003</v>
      </c>
    </row>
    <row r="380" spans="1:6" ht="16.5" x14ac:dyDescent="0.25">
      <c r="A380" s="216" t="str">
        <f>'таланты+инициативы0,262'!A321</f>
        <v>ключ трубный</v>
      </c>
      <c r="B380" s="169" t="s">
        <v>82</v>
      </c>
      <c r="C380" s="302"/>
      <c r="D380" s="390">
        <f>Лист1!C91*$A$286</f>
        <v>0.36899999999999999</v>
      </c>
      <c r="E380" s="448">
        <f>'таланты+инициативы0,262'!E321</f>
        <v>847</v>
      </c>
      <c r="F380" s="245">
        <f t="shared" si="15"/>
        <v>312.54300000000001</v>
      </c>
    </row>
    <row r="381" spans="1:6" ht="16.5" x14ac:dyDescent="0.25">
      <c r="A381" s="216" t="str">
        <f>'таланты+инициативы0,262'!A322</f>
        <v>лента фум</v>
      </c>
      <c r="B381" s="169" t="s">
        <v>82</v>
      </c>
      <c r="C381" s="302"/>
      <c r="D381" s="390">
        <f>Лист1!C92*$A$286</f>
        <v>0.36899999999999999</v>
      </c>
      <c r="E381" s="448">
        <f>'таланты+инициативы0,262'!E322</f>
        <v>140</v>
      </c>
      <c r="F381" s="245">
        <f t="shared" si="15"/>
        <v>51.66</v>
      </c>
    </row>
    <row r="382" spans="1:6" ht="16.5" x14ac:dyDescent="0.25">
      <c r="A382" s="216" t="str">
        <f>'таланты+инициативы0,262'!A323</f>
        <v>защелка замка</v>
      </c>
      <c r="B382" s="169" t="s">
        <v>82</v>
      </c>
      <c r="C382" s="302"/>
      <c r="D382" s="390">
        <f>Лист1!C93*$A$286</f>
        <v>0.36899999999999999</v>
      </c>
      <c r="E382" s="448">
        <f>'таланты+инициативы0,262'!E323</f>
        <v>554</v>
      </c>
      <c r="F382" s="245">
        <f t="shared" si="15"/>
        <v>204.42599999999999</v>
      </c>
    </row>
    <row r="383" spans="1:6" ht="16.5" x14ac:dyDescent="0.25">
      <c r="A383" s="216" t="str">
        <f>'таланты+инициативы0,262'!A324</f>
        <v>стержни клеевые по керамике</v>
      </c>
      <c r="B383" s="169" t="s">
        <v>82</v>
      </c>
      <c r="C383" s="302"/>
      <c r="D383" s="390">
        <f>Лист1!C94*$A$286</f>
        <v>3.69</v>
      </c>
      <c r="E383" s="448">
        <f>'таланты+инициативы0,262'!E324</f>
        <v>180</v>
      </c>
      <c r="F383" s="245">
        <f t="shared" si="15"/>
        <v>664.2</v>
      </c>
    </row>
    <row r="384" spans="1:6" ht="16.5" x14ac:dyDescent="0.25">
      <c r="A384" s="216" t="str">
        <f>'таланты+инициативы0,262'!A325</f>
        <v>щит распределительный</v>
      </c>
      <c r="B384" s="169" t="s">
        <v>82</v>
      </c>
      <c r="C384" s="302"/>
      <c r="D384" s="390">
        <f>Лист1!C95*$A$286</f>
        <v>0.36899999999999999</v>
      </c>
      <c r="E384" s="448">
        <f>'таланты+инициативы0,262'!E325</f>
        <v>2362</v>
      </c>
      <c r="F384" s="245">
        <f t="shared" si="15"/>
        <v>871.57799999999997</v>
      </c>
    </row>
    <row r="385" spans="1:6" ht="16.5" x14ac:dyDescent="0.25">
      <c r="A385" s="216" t="str">
        <f>'таланты+инициативы0,262'!A326</f>
        <v>фен технический</v>
      </c>
      <c r="B385" s="169" t="s">
        <v>82</v>
      </c>
      <c r="C385" s="302"/>
      <c r="D385" s="390">
        <f>Лист1!C96*$A$286</f>
        <v>0.36899999999999999</v>
      </c>
      <c r="E385" s="448">
        <f>'таланты+инициативы0,262'!E326</f>
        <v>2048</v>
      </c>
      <c r="F385" s="245">
        <f t="shared" si="15"/>
        <v>755.71199999999999</v>
      </c>
    </row>
    <row r="386" spans="1:6" ht="16.5" x14ac:dyDescent="0.25">
      <c r="A386" s="216" t="str">
        <f>'таланты+инициативы0,262'!A327</f>
        <v>струбцина</v>
      </c>
      <c r="B386" s="169" t="s">
        <v>82</v>
      </c>
      <c r="C386" s="302"/>
      <c r="D386" s="390">
        <f>Лист1!C97*$A$286</f>
        <v>0.36899999999999999</v>
      </c>
      <c r="E386" s="448">
        <f>'таланты+инициативы0,262'!E327</f>
        <v>142</v>
      </c>
      <c r="F386" s="245">
        <f t="shared" si="15"/>
        <v>52.397999999999996</v>
      </c>
    </row>
    <row r="387" spans="1:6" ht="16.5" x14ac:dyDescent="0.25">
      <c r="A387" s="216" t="str">
        <f>'таланты+инициативы0,262'!A328</f>
        <v>набор струбцины</v>
      </c>
      <c r="B387" s="169" t="s">
        <v>82</v>
      </c>
      <c r="C387" s="302"/>
      <c r="D387" s="390">
        <f>Лист1!C98*$A$286</f>
        <v>0.36899999999999999</v>
      </c>
      <c r="E387" s="448">
        <f>'таланты+инициативы0,262'!E328</f>
        <v>370</v>
      </c>
      <c r="F387" s="245">
        <f t="shared" si="15"/>
        <v>136.53</v>
      </c>
    </row>
    <row r="388" spans="1:6" ht="16.5" x14ac:dyDescent="0.25">
      <c r="A388" s="216" t="str">
        <f>'таланты+инициативы0,262'!A329</f>
        <v>сверло по бетону</v>
      </c>
      <c r="B388" s="169" t="s">
        <v>82</v>
      </c>
      <c r="C388" s="302"/>
      <c r="D388" s="390">
        <f>Лист1!C99*$A$286</f>
        <v>0.36899999999999999</v>
      </c>
      <c r="E388" s="448">
        <f>'таланты+инициативы0,262'!E329</f>
        <v>77</v>
      </c>
      <c r="F388" s="245">
        <f t="shared" si="15"/>
        <v>28.413</v>
      </c>
    </row>
    <row r="389" spans="1:6" ht="16.5" x14ac:dyDescent="0.25">
      <c r="A389" s="216" t="str">
        <f>'таланты+инициативы0,262'!A330</f>
        <v>кисть Акор работы по дереву</v>
      </c>
      <c r="B389" s="169" t="s">
        <v>82</v>
      </c>
      <c r="C389" s="302"/>
      <c r="D389" s="390">
        <f>Лист1!C100*$A$286</f>
        <v>3.3209999999999997</v>
      </c>
      <c r="E389" s="448">
        <f>'таланты+инициативы0,262'!E330</f>
        <v>35</v>
      </c>
      <c r="F389" s="245">
        <f t="shared" si="15"/>
        <v>116.23499999999999</v>
      </c>
    </row>
    <row r="390" spans="1:6" ht="16.5" x14ac:dyDescent="0.25">
      <c r="A390" s="216" t="str">
        <f>'таланты+инициативы0,262'!A331</f>
        <v>эмаль аэрозоль желтая 520 мл</v>
      </c>
      <c r="B390" s="169" t="s">
        <v>82</v>
      </c>
      <c r="C390" s="302"/>
      <c r="D390" s="390">
        <f>Лист1!C101*$A$286</f>
        <v>0.36899999999999999</v>
      </c>
      <c r="E390" s="448">
        <f>'таланты+инициативы0,262'!E331</f>
        <v>213</v>
      </c>
      <c r="F390" s="245">
        <f t="shared" si="15"/>
        <v>78.596999999999994</v>
      </c>
    </row>
    <row r="391" spans="1:6" ht="16.5" x14ac:dyDescent="0.25">
      <c r="A391" s="216" t="str">
        <f>'таланты+инициативы0,262'!A332</f>
        <v>эмаль аэрозоль голубая 520 мл</v>
      </c>
      <c r="B391" s="169" t="s">
        <v>82</v>
      </c>
      <c r="C391" s="302"/>
      <c r="D391" s="390">
        <f>Лист1!C102*$A$286</f>
        <v>1.107</v>
      </c>
      <c r="E391" s="448">
        <f>'таланты+инициативы0,262'!E332</f>
        <v>205</v>
      </c>
      <c r="F391" s="245">
        <f t="shared" si="15"/>
        <v>226.935</v>
      </c>
    </row>
    <row r="392" spans="1:6" ht="16.5" x14ac:dyDescent="0.25">
      <c r="A392" s="216" t="str">
        <f>'таланты+инициативы0,262'!A333</f>
        <v>набор инструментов зубр</v>
      </c>
      <c r="B392" s="169" t="s">
        <v>82</v>
      </c>
      <c r="C392" s="302"/>
      <c r="D392" s="390">
        <f>Лист1!C103*$A$286</f>
        <v>0.36899999999999999</v>
      </c>
      <c r="E392" s="448">
        <f>'таланты+инициативы0,262'!E333</f>
        <v>3534</v>
      </c>
      <c r="F392" s="245">
        <f t="shared" si="15"/>
        <v>1304.046</v>
      </c>
    </row>
    <row r="393" spans="1:6" ht="16.5" x14ac:dyDescent="0.25">
      <c r="A393" s="216" t="str">
        <f>'таланты+инициативы0,262'!A334</f>
        <v>набор сьемников для панели</v>
      </c>
      <c r="B393" s="169" t="s">
        <v>82</v>
      </c>
      <c r="C393" s="302"/>
      <c r="D393" s="390">
        <f>Лист1!C104*$A$286</f>
        <v>0.36899999999999999</v>
      </c>
      <c r="E393" s="448">
        <f>'таланты+инициативы0,262'!E334</f>
        <v>583</v>
      </c>
      <c r="F393" s="245">
        <f t="shared" si="15"/>
        <v>215.12700000000001</v>
      </c>
    </row>
    <row r="394" spans="1:6" ht="16.5" x14ac:dyDescent="0.25">
      <c r="A394" s="216" t="str">
        <f>'таланты+инициативы0,262'!A335</f>
        <v>смазка проникающая</v>
      </c>
      <c r="B394" s="169" t="s">
        <v>82</v>
      </c>
      <c r="C394" s="302"/>
      <c r="D394" s="390">
        <f>Лист1!C105*$A$286</f>
        <v>0.36899999999999999</v>
      </c>
      <c r="E394" s="448">
        <f>'таланты+инициативы0,262'!E335</f>
        <v>122</v>
      </c>
      <c r="F394" s="245">
        <f t="shared" ref="F394:F457" si="16">D394*E394</f>
        <v>45.018000000000001</v>
      </c>
    </row>
    <row r="395" spans="1:6" ht="16.5" x14ac:dyDescent="0.25">
      <c r="A395" s="216" t="str">
        <f>'таланты+инициативы0,262'!A336</f>
        <v>воронка уфа</v>
      </c>
      <c r="B395" s="169" t="s">
        <v>82</v>
      </c>
      <c r="C395" s="302"/>
      <c r="D395" s="390">
        <f>Лист1!C106*$A$286</f>
        <v>0.36899999999999999</v>
      </c>
      <c r="E395" s="448">
        <f>'таланты+инициативы0,262'!E336</f>
        <v>130</v>
      </c>
      <c r="F395" s="245">
        <f t="shared" si="16"/>
        <v>47.97</v>
      </c>
    </row>
    <row r="396" spans="1:6" ht="16.5" x14ac:dyDescent="0.25">
      <c r="A396" s="216" t="str">
        <f>'таланты+инициативы0,262'!A337</f>
        <v>угол крепежный усиленный</v>
      </c>
      <c r="B396" s="169" t="s">
        <v>82</v>
      </c>
      <c r="C396" s="302"/>
      <c r="D396" s="390">
        <f>Лист1!C107*$A$286</f>
        <v>2.214</v>
      </c>
      <c r="E396" s="448">
        <f>'таланты+инициативы0,262'!E337</f>
        <v>110</v>
      </c>
      <c r="F396" s="245">
        <f t="shared" si="16"/>
        <v>243.54</v>
      </c>
    </row>
    <row r="397" spans="1:6" ht="16.5" x14ac:dyDescent="0.25">
      <c r="A397" s="216" t="str">
        <f>'таланты+инициативы0,262'!A338</f>
        <v>обои винил</v>
      </c>
      <c r="B397" s="169" t="s">
        <v>82</v>
      </c>
      <c r="C397" s="302"/>
      <c r="D397" s="390">
        <f>Лист1!C108*$A$286</f>
        <v>1.476</v>
      </c>
      <c r="E397" s="448">
        <f>'таланты+инициативы0,262'!E338</f>
        <v>652</v>
      </c>
      <c r="F397" s="245">
        <f t="shared" si="16"/>
        <v>962.35199999999998</v>
      </c>
    </row>
    <row r="398" spans="1:6" ht="16.5" x14ac:dyDescent="0.25">
      <c r="A398" s="216" t="str">
        <f>'таланты+инициативы0,262'!A339</f>
        <v>альба обои влагостойкие</v>
      </c>
      <c r="B398" s="169" t="s">
        <v>82</v>
      </c>
      <c r="C398" s="302"/>
      <c r="D398" s="390">
        <f>Лист1!C109*$A$286</f>
        <v>0.73799999999999999</v>
      </c>
      <c r="E398" s="448">
        <f>'таланты+инициативы0,262'!E339</f>
        <v>406</v>
      </c>
      <c r="F398" s="245">
        <f t="shared" si="16"/>
        <v>299.62799999999999</v>
      </c>
    </row>
    <row r="399" spans="1:6" ht="16.5" x14ac:dyDescent="0.25">
      <c r="A399" s="216" t="str">
        <f>'таланты+инициативы0,262'!A340</f>
        <v>эмаль пф-266 алк. Красно-коричневая</v>
      </c>
      <c r="B399" s="169" t="s">
        <v>82</v>
      </c>
      <c r="C399" s="302"/>
      <c r="D399" s="390">
        <f>Лист1!C110*$A$286</f>
        <v>0.73799999999999999</v>
      </c>
      <c r="E399" s="448">
        <f>'таланты+инициативы0,262'!E340</f>
        <v>625</v>
      </c>
      <c r="F399" s="245">
        <f t="shared" si="16"/>
        <v>461.25</v>
      </c>
    </row>
    <row r="400" spans="1:6" ht="16.5" x14ac:dyDescent="0.25">
      <c r="A400" s="216" t="str">
        <f>'таланты+инициативы0,262'!A341</f>
        <v>эмаль олеколор пф-115 алк белая</v>
      </c>
      <c r="B400" s="169" t="s">
        <v>82</v>
      </c>
      <c r="C400" s="302"/>
      <c r="D400" s="390">
        <f>Лист1!C111*$A$286</f>
        <v>0.36899999999999999</v>
      </c>
      <c r="E400" s="448">
        <f>'таланты+инициативы0,262'!E341</f>
        <v>262</v>
      </c>
      <c r="F400" s="245">
        <f t="shared" si="16"/>
        <v>96.677999999999997</v>
      </c>
    </row>
    <row r="401" spans="1:6" ht="16.5" x14ac:dyDescent="0.25">
      <c r="A401" s="216" t="str">
        <f>'таланты+инициативы0,262'!A342</f>
        <v>валик Акор мастер240*8</v>
      </c>
      <c r="B401" s="169" t="s">
        <v>82</v>
      </c>
      <c r="C401" s="302"/>
      <c r="D401" s="390">
        <f>Лист1!C112*$A$286</f>
        <v>0.36899999999999999</v>
      </c>
      <c r="E401" s="448">
        <f>'таланты+инициативы0,262'!E342</f>
        <v>220</v>
      </c>
      <c r="F401" s="245">
        <f t="shared" si="16"/>
        <v>81.179999999999993</v>
      </c>
    </row>
    <row r="402" spans="1:6" ht="16.5" x14ac:dyDescent="0.25">
      <c r="A402" s="216" t="str">
        <f>'таланты+инициативы0,262'!A343</f>
        <v>кисть акор столичная</v>
      </c>
      <c r="B402" s="169" t="s">
        <v>82</v>
      </c>
      <c r="C402" s="302"/>
      <c r="D402" s="390">
        <f>Лист1!C113*$A$286</f>
        <v>0.73799999999999999</v>
      </c>
      <c r="E402" s="448">
        <f>'таланты+инициативы0,262'!E343</f>
        <v>39</v>
      </c>
      <c r="F402" s="245">
        <f t="shared" si="16"/>
        <v>28.782</v>
      </c>
    </row>
    <row r="403" spans="1:6" ht="16.5" x14ac:dyDescent="0.25">
      <c r="A403" s="216" t="str">
        <f>'таланты+инициативы0,262'!A344</f>
        <v>клей обойный</v>
      </c>
      <c r="B403" s="169" t="s">
        <v>82</v>
      </c>
      <c r="C403" s="302"/>
      <c r="D403" s="390">
        <f>Лист1!C114*$A$286</f>
        <v>0.36899999999999999</v>
      </c>
      <c r="E403" s="448">
        <f>'таланты+инициативы0,262'!E344</f>
        <v>380</v>
      </c>
      <c r="F403" s="245">
        <f t="shared" si="16"/>
        <v>140.22</v>
      </c>
    </row>
    <row r="404" spans="1:6" ht="16.5" x14ac:dyDescent="0.25">
      <c r="A404" s="216" t="str">
        <f>'таланты+инициативы0,262'!A345</f>
        <v>удлинитель нильсон</v>
      </c>
      <c r="B404" s="169" t="s">
        <v>82</v>
      </c>
      <c r="C404" s="302"/>
      <c r="D404" s="390">
        <f>Лист1!C115*$A$286</f>
        <v>0.73799999999999999</v>
      </c>
      <c r="E404" s="448">
        <f>'таланты+инициативы0,262'!E345</f>
        <v>671</v>
      </c>
      <c r="F404" s="245">
        <f t="shared" si="16"/>
        <v>495.19799999999998</v>
      </c>
    </row>
    <row r="405" spans="1:6" ht="16.5" x14ac:dyDescent="0.25">
      <c r="A405" s="216" t="str">
        <f>'таланты+инициативы0,262'!A346</f>
        <v>штора рул 180 см</v>
      </c>
      <c r="B405" s="169" t="s">
        <v>82</v>
      </c>
      <c r="C405" s="302"/>
      <c r="D405" s="390">
        <f>Лист1!C116*$A$286</f>
        <v>0.36899999999999999</v>
      </c>
      <c r="E405" s="448">
        <f>'таланты+инициативы0,262'!E346</f>
        <v>2880</v>
      </c>
      <c r="F405" s="245">
        <f t="shared" si="16"/>
        <v>1062.72</v>
      </c>
    </row>
    <row r="406" spans="1:6" ht="16.5" x14ac:dyDescent="0.25">
      <c r="A406" s="216" t="str">
        <f>'таланты+инициативы0,262'!A347</f>
        <v>штора рул 150 см</v>
      </c>
      <c r="B406" s="169" t="s">
        <v>82</v>
      </c>
      <c r="C406" s="302"/>
      <c r="D406" s="390">
        <f>Лист1!C117*$A$286</f>
        <v>0.36899999999999999</v>
      </c>
      <c r="E406" s="448">
        <f>'таланты+инициативы0,262'!E347</f>
        <v>2480</v>
      </c>
      <c r="F406" s="245">
        <f t="shared" si="16"/>
        <v>915.12</v>
      </c>
    </row>
    <row r="407" spans="1:6" ht="16.5" x14ac:dyDescent="0.25">
      <c r="A407" s="216" t="str">
        <f>'таланты+инициативы0,262'!A348</f>
        <v>клей космофен</v>
      </c>
      <c r="B407" s="169" t="s">
        <v>82</v>
      </c>
      <c r="C407" s="302"/>
      <c r="D407" s="390">
        <f>Лист1!C118*$A$286</f>
        <v>0.73799999999999999</v>
      </c>
      <c r="E407" s="448">
        <f>'таланты+инициативы0,262'!E348</f>
        <v>180</v>
      </c>
      <c r="F407" s="245">
        <f t="shared" si="16"/>
        <v>132.84</v>
      </c>
    </row>
    <row r="408" spans="1:6" ht="16.5" x14ac:dyDescent="0.25">
      <c r="A408" s="216" t="str">
        <f>'таланты+инициативы0,262'!A349</f>
        <v>обои ротанг</v>
      </c>
      <c r="B408" s="169" t="s">
        <v>82</v>
      </c>
      <c r="C408" s="302"/>
      <c r="D408" s="390">
        <f>Лист1!C119*$A$286</f>
        <v>1.845</v>
      </c>
      <c r="E408" s="448">
        <f>'таланты+инициативы0,262'!E349</f>
        <v>180</v>
      </c>
      <c r="F408" s="245">
        <f t="shared" si="16"/>
        <v>332.1</v>
      </c>
    </row>
    <row r="409" spans="1:6" ht="16.5" x14ac:dyDescent="0.25">
      <c r="A409" s="216" t="str">
        <f>'таланты+инициативы0,262'!A350</f>
        <v>эмаль пф-115</v>
      </c>
      <c r="B409" s="169" t="s">
        <v>82</v>
      </c>
      <c r="C409" s="302"/>
      <c r="D409" s="390">
        <f>Лист1!C120*$A$286</f>
        <v>0.36899999999999999</v>
      </c>
      <c r="E409" s="448">
        <f>'таланты+инициативы0,262'!E350</f>
        <v>1291</v>
      </c>
      <c r="F409" s="245">
        <f t="shared" si="16"/>
        <v>476.37900000000002</v>
      </c>
    </row>
    <row r="410" spans="1:6" ht="16.5" x14ac:dyDescent="0.25">
      <c r="A410" s="216" t="str">
        <f>'таланты+инициативы0,262'!A351</f>
        <v>обои альба</v>
      </c>
      <c r="B410" s="169" t="s">
        <v>82</v>
      </c>
      <c r="C410" s="302"/>
      <c r="D410" s="390">
        <f>Лист1!C121*$A$286</f>
        <v>0.36899999999999999</v>
      </c>
      <c r="E410" s="448">
        <f>'таланты+инициативы0,262'!E351</f>
        <v>162.4</v>
      </c>
      <c r="F410" s="245">
        <f t="shared" si="16"/>
        <v>59.925600000000003</v>
      </c>
    </row>
    <row r="411" spans="1:6" ht="16.5" x14ac:dyDescent="0.25">
      <c r="A411" s="216" t="str">
        <f>'таланты+инициативы0,262'!A352</f>
        <v>гвозди строит</v>
      </c>
      <c r="B411" s="169" t="s">
        <v>82</v>
      </c>
      <c r="C411" s="302"/>
      <c r="D411" s="390">
        <f>Лист1!C122*$A$286</f>
        <v>1.107</v>
      </c>
      <c r="E411" s="448">
        <f>'таланты+инициативы0,262'!E352</f>
        <v>100</v>
      </c>
      <c r="F411" s="245">
        <f t="shared" si="16"/>
        <v>110.7</v>
      </c>
    </row>
    <row r="412" spans="1:6" ht="16.5" x14ac:dyDescent="0.25">
      <c r="A412" s="216" t="str">
        <f>'таланты+инициативы0,262'!A353</f>
        <v>молоток кованый</v>
      </c>
      <c r="B412" s="169" t="s">
        <v>82</v>
      </c>
      <c r="C412" s="302"/>
      <c r="D412" s="390">
        <f>Лист1!C123*$A$286</f>
        <v>0.36899999999999999</v>
      </c>
      <c r="E412" s="448">
        <f>'таланты+инициативы0,262'!E353</f>
        <v>212</v>
      </c>
      <c r="F412" s="245">
        <f t="shared" si="16"/>
        <v>78.227999999999994</v>
      </c>
    </row>
    <row r="413" spans="1:6" ht="16.5" x14ac:dyDescent="0.25">
      <c r="A413" s="216" t="str">
        <f>'таланты+инициативы0,262'!A354</f>
        <v>фанера береза</v>
      </c>
      <c r="B413" s="169" t="s">
        <v>82</v>
      </c>
      <c r="C413" s="302"/>
      <c r="D413" s="390">
        <f>Лист1!C124*$A$286</f>
        <v>3.69</v>
      </c>
      <c r="E413" s="448">
        <f>'таланты+инициативы0,262'!E354</f>
        <v>775</v>
      </c>
      <c r="F413" s="245">
        <f t="shared" si="16"/>
        <v>2859.75</v>
      </c>
    </row>
    <row r="414" spans="1:6" ht="16.5" x14ac:dyDescent="0.25">
      <c r="A414" s="216" t="str">
        <f>'таланты+инициативы0,262'!A355</f>
        <v>проступь черная</v>
      </c>
      <c r="B414" s="169" t="s">
        <v>82</v>
      </c>
      <c r="C414" s="302"/>
      <c r="D414" s="390">
        <f>Лист1!C125*$A$286</f>
        <v>0.73799999999999999</v>
      </c>
      <c r="E414" s="448">
        <f>'таланты+инициативы0,262'!E355</f>
        <v>1100</v>
      </c>
      <c r="F414" s="245">
        <f t="shared" si="16"/>
        <v>811.8</v>
      </c>
    </row>
    <row r="415" spans="1:6" ht="16.5" x14ac:dyDescent="0.25">
      <c r="A415" s="216" t="str">
        <f>'таланты+инициативы0,262'!A356</f>
        <v>коврик влаговпит</v>
      </c>
      <c r="B415" s="169" t="s">
        <v>82</v>
      </c>
      <c r="C415" s="302"/>
      <c r="D415" s="390">
        <f>Лист1!C126*$A$286</f>
        <v>0.73799999999999999</v>
      </c>
      <c r="E415" s="448">
        <f>'таланты+инициативы0,262'!E356</f>
        <v>680</v>
      </c>
      <c r="F415" s="245">
        <f t="shared" si="16"/>
        <v>501.84</v>
      </c>
    </row>
    <row r="416" spans="1:6" ht="16.5" x14ac:dyDescent="0.25">
      <c r="A416" s="216" t="str">
        <f>'таланты+инициативы0,262'!A357</f>
        <v>угол крепежный</v>
      </c>
      <c r="B416" s="169" t="s">
        <v>82</v>
      </c>
      <c r="C416" s="302"/>
      <c r="D416" s="390">
        <f>Лист1!C127*$A$286</f>
        <v>7.38</v>
      </c>
      <c r="E416" s="448">
        <f>'таланты+инициативы0,262'!E357</f>
        <v>13</v>
      </c>
      <c r="F416" s="245">
        <f t="shared" si="16"/>
        <v>95.94</v>
      </c>
    </row>
    <row r="417" spans="1:6" ht="16.5" x14ac:dyDescent="0.25">
      <c r="A417" s="216" t="str">
        <f>'таланты+инициативы0,262'!A358</f>
        <v>петля накладная</v>
      </c>
      <c r="B417" s="169" t="s">
        <v>82</v>
      </c>
      <c r="C417" s="302"/>
      <c r="D417" s="390">
        <f>Лист1!C128*$A$286</f>
        <v>0.73799999999999999</v>
      </c>
      <c r="E417" s="448">
        <f>'таланты+инициативы0,262'!E358</f>
        <v>26</v>
      </c>
      <c r="F417" s="245">
        <f t="shared" si="16"/>
        <v>19.187999999999999</v>
      </c>
    </row>
    <row r="418" spans="1:6" ht="16.5" x14ac:dyDescent="0.25">
      <c r="A418" s="216" t="str">
        <f>'таланты+инициативы0,262'!A359</f>
        <v>проушина</v>
      </c>
      <c r="B418" s="169" t="s">
        <v>82</v>
      </c>
      <c r="C418" s="302"/>
      <c r="D418" s="390">
        <f>Лист1!C129*$A$286</f>
        <v>0.73799999999999999</v>
      </c>
      <c r="E418" s="448">
        <f>'таланты+инициативы0,262'!E359</f>
        <v>8</v>
      </c>
      <c r="F418" s="245">
        <f t="shared" si="16"/>
        <v>5.9039999999999999</v>
      </c>
    </row>
    <row r="419" spans="1:6" ht="16.5" x14ac:dyDescent="0.25">
      <c r="A419" s="216" t="str">
        <f>'таланты+инициативы0,262'!A360</f>
        <v>домкрат</v>
      </c>
      <c r="B419" s="169" t="s">
        <v>82</v>
      </c>
      <c r="C419" s="302"/>
      <c r="D419" s="390">
        <f>Лист1!C130*$A$286</f>
        <v>0.36899999999999999</v>
      </c>
      <c r="E419" s="448">
        <f>'таланты+инициативы0,262'!E360</f>
        <v>3837</v>
      </c>
      <c r="F419" s="245">
        <f t="shared" si="16"/>
        <v>1415.8530000000001</v>
      </c>
    </row>
    <row r="420" spans="1:6" ht="16.5" x14ac:dyDescent="0.25">
      <c r="A420" s="216" t="str">
        <f>'таланты+инициативы0,262'!A361</f>
        <v>скотч упаковочный</v>
      </c>
      <c r="B420" s="169" t="s">
        <v>82</v>
      </c>
      <c r="C420" s="302"/>
      <c r="D420" s="390">
        <f>Лист1!C131*$A$286</f>
        <v>1.845</v>
      </c>
      <c r="E420" s="448">
        <f>'таланты+инициативы0,262'!E361</f>
        <v>110</v>
      </c>
      <c r="F420" s="245">
        <f t="shared" si="16"/>
        <v>202.95</v>
      </c>
    </row>
    <row r="421" spans="1:6" ht="16.5" x14ac:dyDescent="0.25">
      <c r="A421" s="216" t="str">
        <f>'таланты+инициативы0,262'!A362</f>
        <v>скотч 48мм</v>
      </c>
      <c r="B421" s="169" t="s">
        <v>82</v>
      </c>
      <c r="C421" s="302"/>
      <c r="D421" s="390">
        <f>Лист1!C132*$A$286</f>
        <v>2.214</v>
      </c>
      <c r="E421" s="448">
        <f>'таланты+инициативы0,262'!E362</f>
        <v>54</v>
      </c>
      <c r="F421" s="245">
        <f t="shared" si="16"/>
        <v>119.556</v>
      </c>
    </row>
    <row r="422" spans="1:6" ht="16.5" x14ac:dyDescent="0.25">
      <c r="A422" s="216" t="str">
        <f>'таланты+инициативы0,262'!A363</f>
        <v>сердцевина цам</v>
      </c>
      <c r="B422" s="169" t="s">
        <v>82</v>
      </c>
      <c r="C422" s="302"/>
      <c r="D422" s="390">
        <f>Лист1!C133*$A$286</f>
        <v>0.36899999999999999</v>
      </c>
      <c r="E422" s="448">
        <f>'таланты+инициативы0,262'!E363</f>
        <v>232</v>
      </c>
      <c r="F422" s="245">
        <f t="shared" si="16"/>
        <v>85.608000000000004</v>
      </c>
    </row>
    <row r="423" spans="1:6" ht="16.5" x14ac:dyDescent="0.25">
      <c r="A423" s="216" t="str">
        <f>'таланты+инициативы0,262'!A364</f>
        <v>прожектор светодиод</v>
      </c>
      <c r="B423" s="169" t="s">
        <v>82</v>
      </c>
      <c r="C423" s="302"/>
      <c r="D423" s="390">
        <f>Лист1!C134*$A$286</f>
        <v>0.73799999999999999</v>
      </c>
      <c r="E423" s="448">
        <f>'таланты+инициативы0,262'!E364</f>
        <v>400</v>
      </c>
      <c r="F423" s="245">
        <f t="shared" si="16"/>
        <v>295.2</v>
      </c>
    </row>
    <row r="424" spans="1:6" ht="16.5" x14ac:dyDescent="0.25">
      <c r="A424" s="216" t="str">
        <f>'таланты+инициативы0,262'!A365</f>
        <v>эмаль акрил белая 0,8 кг</v>
      </c>
      <c r="B424" s="169" t="s">
        <v>82</v>
      </c>
      <c r="C424" s="302"/>
      <c r="D424" s="390">
        <f>Лист1!C135*$A$286</f>
        <v>0.36899999999999999</v>
      </c>
      <c r="E424" s="448">
        <f>'таланты+инициативы0,262'!E365</f>
        <v>380</v>
      </c>
      <c r="F424" s="245">
        <f t="shared" si="16"/>
        <v>140.22</v>
      </c>
    </row>
    <row r="425" spans="1:6" ht="16.5" x14ac:dyDescent="0.25">
      <c r="A425" s="216" t="str">
        <f>'таланты+инициативы0,262'!A366</f>
        <v>универс колер 80 мл алый</v>
      </c>
      <c r="B425" s="169" t="s">
        <v>82</v>
      </c>
      <c r="C425" s="302"/>
      <c r="D425" s="390">
        <f>Лист1!C136*$A$286</f>
        <v>0.36899999999999999</v>
      </c>
      <c r="E425" s="448">
        <f>'таланты+инициативы0,262'!E366</f>
        <v>175</v>
      </c>
      <c r="F425" s="245">
        <f t="shared" si="16"/>
        <v>64.575000000000003</v>
      </c>
    </row>
    <row r="426" spans="1:6" ht="16.5" x14ac:dyDescent="0.25">
      <c r="A426" s="216" t="str">
        <f>'таланты+инициативы0,262'!A367</f>
        <v>универс колер 80 мл зеленый</v>
      </c>
      <c r="B426" s="169" t="s">
        <v>82</v>
      </c>
      <c r="C426" s="302"/>
      <c r="D426" s="390">
        <f>Лист1!C137*$A$286</f>
        <v>0.36899999999999999</v>
      </c>
      <c r="E426" s="448">
        <f>'таланты+инициативы0,262'!E367</f>
        <v>175</v>
      </c>
      <c r="F426" s="245">
        <f t="shared" si="16"/>
        <v>64.575000000000003</v>
      </c>
    </row>
    <row r="427" spans="1:6" ht="16.5" x14ac:dyDescent="0.25">
      <c r="A427" s="216" t="str">
        <f>'таланты+инициативы0,262'!A368</f>
        <v>кран бабочка</v>
      </c>
      <c r="B427" s="169" t="s">
        <v>82</v>
      </c>
      <c r="C427" s="302"/>
      <c r="D427" s="390">
        <f>Лист1!C138*$A$286</f>
        <v>5.9039999999999999</v>
      </c>
      <c r="E427" s="448">
        <f>'таланты+инициативы0,262'!E368</f>
        <v>980</v>
      </c>
      <c r="F427" s="245">
        <f t="shared" si="16"/>
        <v>5785.92</v>
      </c>
    </row>
    <row r="428" spans="1:6" ht="16.5" x14ac:dyDescent="0.25">
      <c r="A428" s="216" t="str">
        <f>'таланты+инициативы0,262'!A369</f>
        <v>вдк интерьерная</v>
      </c>
      <c r="B428" s="169" t="s">
        <v>82</v>
      </c>
      <c r="C428" s="302"/>
      <c r="D428" s="390">
        <f>Лист1!C139*$A$286</f>
        <v>0.36899999999999999</v>
      </c>
      <c r="E428" s="448">
        <f>'таланты+инициативы0,262'!E369</f>
        <v>382</v>
      </c>
      <c r="F428" s="245">
        <f t="shared" si="16"/>
        <v>140.958</v>
      </c>
    </row>
    <row r="429" spans="1:6" ht="16.5" x14ac:dyDescent="0.25">
      <c r="A429" s="216" t="str">
        <f>'таланты+инициативы0,262'!A370</f>
        <v>замок навесной</v>
      </c>
      <c r="B429" s="169" t="s">
        <v>82</v>
      </c>
      <c r="C429" s="302"/>
      <c r="D429" s="390">
        <f>Лист1!C140*$A$286</f>
        <v>0.36899999999999999</v>
      </c>
      <c r="E429" s="448">
        <f>'таланты+инициативы0,262'!E370</f>
        <v>159</v>
      </c>
      <c r="F429" s="245">
        <f t="shared" si="16"/>
        <v>58.670999999999999</v>
      </c>
    </row>
    <row r="430" spans="1:6" ht="16.5" x14ac:dyDescent="0.25">
      <c r="A430" s="216" t="str">
        <f>'таланты+инициативы0,262'!A371</f>
        <v>петля накладная 85 левая</v>
      </c>
      <c r="B430" s="169" t="s">
        <v>82</v>
      </c>
      <c r="C430" s="302"/>
      <c r="D430" s="390">
        <f>Лист1!C141*$A$286</f>
        <v>0.73799999999999999</v>
      </c>
      <c r="E430" s="448">
        <f>'таланты+инициативы0,262'!E371</f>
        <v>36</v>
      </c>
      <c r="F430" s="245">
        <f t="shared" si="16"/>
        <v>26.567999999999998</v>
      </c>
    </row>
    <row r="431" spans="1:6" ht="16.5" x14ac:dyDescent="0.25">
      <c r="A431" s="216" t="str">
        <f>'таланты+инициативы0,262'!A372</f>
        <v>петля накладная 70 правая</v>
      </c>
      <c r="B431" s="169" t="s">
        <v>82</v>
      </c>
      <c r="C431" s="302"/>
      <c r="D431" s="390">
        <f>Лист1!C142*$A$286</f>
        <v>2.952</v>
      </c>
      <c r="E431" s="448">
        <f>'таланты+инициативы0,262'!E372</f>
        <v>26</v>
      </c>
      <c r="F431" s="245">
        <f t="shared" si="16"/>
        <v>76.751999999999995</v>
      </c>
    </row>
    <row r="432" spans="1:6" ht="16.5" x14ac:dyDescent="0.25">
      <c r="A432" s="216" t="str">
        <f>'таланты+инициативы0,262'!A373</f>
        <v>крючок ветровой</v>
      </c>
      <c r="B432" s="169" t="s">
        <v>82</v>
      </c>
      <c r="C432" s="302"/>
      <c r="D432" s="390">
        <f>Лист1!C143*$A$286</f>
        <v>2.952</v>
      </c>
      <c r="E432" s="448">
        <f>'таланты+инициативы0,262'!E373</f>
        <v>22</v>
      </c>
      <c r="F432" s="245">
        <f t="shared" si="16"/>
        <v>64.944000000000003</v>
      </c>
    </row>
    <row r="433" spans="1:6" ht="16.5" x14ac:dyDescent="0.25">
      <c r="A433" s="216" t="str">
        <f>'таланты+инициативы0,262'!A374</f>
        <v>ручка-скоба</v>
      </c>
      <c r="B433" s="169" t="s">
        <v>82</v>
      </c>
      <c r="C433" s="318"/>
      <c r="D433" s="390">
        <f>Лист1!C144*$A$286</f>
        <v>0.73799999999999999</v>
      </c>
      <c r="E433" s="448">
        <f>'таланты+инициативы0,262'!E374</f>
        <v>32</v>
      </c>
      <c r="F433" s="245">
        <f t="shared" si="16"/>
        <v>23.616</v>
      </c>
    </row>
    <row r="434" spans="1:6" ht="16.5" x14ac:dyDescent="0.25">
      <c r="A434" s="216" t="str">
        <f>'таланты+инициативы0,262'!A375</f>
        <v>фанера 10 мм</v>
      </c>
      <c r="B434" s="169" t="s">
        <v>82</v>
      </c>
      <c r="C434" s="318"/>
      <c r="D434" s="390">
        <f>Лист1!C145*$A$286</f>
        <v>1.476</v>
      </c>
      <c r="E434" s="448">
        <f>'таланты+инициативы0,262'!E375</f>
        <v>1475</v>
      </c>
      <c r="F434" s="245">
        <f t="shared" si="16"/>
        <v>2177.1</v>
      </c>
    </row>
    <row r="435" spans="1:6" ht="16.5" x14ac:dyDescent="0.25">
      <c r="A435" s="216" t="str">
        <f>'таланты+инициативы0,262'!A376</f>
        <v>фанера 20 мм</v>
      </c>
      <c r="B435" s="169" t="s">
        <v>82</v>
      </c>
      <c r="C435" s="318"/>
      <c r="D435" s="390">
        <f>Лист1!C146*$A$286</f>
        <v>0.73799999999999999</v>
      </c>
      <c r="E435" s="448">
        <f>'таланты+инициативы0,262'!E376</f>
        <v>2355</v>
      </c>
      <c r="F435" s="245">
        <f t="shared" si="16"/>
        <v>1737.99</v>
      </c>
    </row>
    <row r="436" spans="1:6" ht="16.5" x14ac:dyDescent="0.25">
      <c r="A436" s="216" t="str">
        <f>'таланты+инициативы0,262'!A377</f>
        <v>заглушка торцевая</v>
      </c>
      <c r="B436" s="169" t="s">
        <v>82</v>
      </c>
      <c r="C436" s="318"/>
      <c r="D436" s="390">
        <f>Лист1!C147*$A$286</f>
        <v>3.69</v>
      </c>
      <c r="E436" s="448">
        <f>'таланты+инициативы0,262'!E377</f>
        <v>25</v>
      </c>
      <c r="F436" s="245">
        <f t="shared" si="16"/>
        <v>92.25</v>
      </c>
    </row>
    <row r="437" spans="1:6" ht="16.5" x14ac:dyDescent="0.25">
      <c r="A437" s="216" t="str">
        <f>'таланты+инициативы0,262'!A378</f>
        <v>проступь черная</v>
      </c>
      <c r="B437" s="169" t="s">
        <v>82</v>
      </c>
      <c r="C437" s="318"/>
      <c r="D437" s="390">
        <f>Лист1!C148*$A$286</f>
        <v>0.36899999999999999</v>
      </c>
      <c r="E437" s="448">
        <f>'таланты+инициативы0,262'!E378</f>
        <v>1100</v>
      </c>
      <c r="F437" s="245">
        <f t="shared" si="16"/>
        <v>405.9</v>
      </c>
    </row>
    <row r="438" spans="1:6" ht="16.5" x14ac:dyDescent="0.25">
      <c r="A438" s="216" t="str">
        <f>'таланты+инициативы0,262'!A379</f>
        <v>замок врезной</v>
      </c>
      <c r="B438" s="169" t="s">
        <v>82</v>
      </c>
      <c r="C438" s="318"/>
      <c r="D438" s="390">
        <f>Лист1!C149*$A$286</f>
        <v>1.476</v>
      </c>
      <c r="E438" s="448">
        <f>'таланты+инициативы0,262'!E379</f>
        <v>416</v>
      </c>
      <c r="F438" s="245">
        <f t="shared" si="16"/>
        <v>614.01599999999996</v>
      </c>
    </row>
    <row r="439" spans="1:6" ht="16.5" x14ac:dyDescent="0.25">
      <c r="A439" s="216" t="str">
        <f>'таланты+инициативы0,262'!A380</f>
        <v>диск шлифовальный</v>
      </c>
      <c r="B439" s="169" t="s">
        <v>82</v>
      </c>
      <c r="C439" s="318"/>
      <c r="D439" s="390">
        <f>Лист1!C150*$A$286</f>
        <v>0.36899999999999999</v>
      </c>
      <c r="E439" s="448">
        <f>'таланты+инициативы0,262'!E380</f>
        <v>309</v>
      </c>
      <c r="F439" s="245">
        <f t="shared" si="16"/>
        <v>114.021</v>
      </c>
    </row>
    <row r="440" spans="1:6" ht="16.5" x14ac:dyDescent="0.25">
      <c r="A440" s="216" t="str">
        <f>'таланты+инициативы0,262'!A381</f>
        <v>порожек стык</v>
      </c>
      <c r="B440" s="169" t="s">
        <v>82</v>
      </c>
      <c r="C440" s="318"/>
      <c r="D440" s="390">
        <f>Лист1!C151*$A$286</f>
        <v>2.214</v>
      </c>
      <c r="E440" s="448">
        <f>'таланты+инициативы0,262'!E381</f>
        <v>245</v>
      </c>
      <c r="F440" s="245">
        <f t="shared" si="16"/>
        <v>542.42999999999995</v>
      </c>
    </row>
    <row r="441" spans="1:6" ht="16.5" x14ac:dyDescent="0.25">
      <c r="A441" s="216" t="str">
        <f>'таланты+инициативы0,262'!A382</f>
        <v>порожек стык</v>
      </c>
      <c r="B441" s="169" t="s">
        <v>82</v>
      </c>
      <c r="C441" s="318"/>
      <c r="D441" s="390">
        <f>Лист1!C152*$A$286</f>
        <v>1.107</v>
      </c>
      <c r="E441" s="448">
        <f>'таланты+инициативы0,262'!E382</f>
        <v>240</v>
      </c>
      <c r="F441" s="245">
        <f t="shared" si="16"/>
        <v>265.68</v>
      </c>
    </row>
    <row r="442" spans="1:6" ht="16.5" x14ac:dyDescent="0.25">
      <c r="A442" s="216" t="str">
        <f>'таланты+инициативы0,262'!A383</f>
        <v>грунтовка акрил 5 кг</v>
      </c>
      <c r="B442" s="169" t="s">
        <v>82</v>
      </c>
      <c r="C442" s="318"/>
      <c r="D442" s="390">
        <f>Лист1!C153*$A$286</f>
        <v>0.36899999999999999</v>
      </c>
      <c r="E442" s="448">
        <f>'таланты+инициативы0,262'!E383</f>
        <v>465</v>
      </c>
      <c r="F442" s="245">
        <f t="shared" si="16"/>
        <v>171.58500000000001</v>
      </c>
    </row>
    <row r="443" spans="1:6" ht="16.5" x14ac:dyDescent="0.25">
      <c r="A443" s="216" t="str">
        <f>'таланты+инициативы0,262'!A384</f>
        <v>скребок снеговой</v>
      </c>
      <c r="B443" s="169" t="s">
        <v>82</v>
      </c>
      <c r="C443" s="318"/>
      <c r="D443" s="390">
        <f>Лист1!C154*$A$286</f>
        <v>0.36899999999999999</v>
      </c>
      <c r="E443" s="448">
        <f>'таланты+инициативы0,262'!E384</f>
        <v>2100</v>
      </c>
      <c r="F443" s="245">
        <f t="shared" si="16"/>
        <v>774.9</v>
      </c>
    </row>
    <row r="444" spans="1:6" ht="16.5" x14ac:dyDescent="0.25">
      <c r="A444" s="216" t="str">
        <f>'таланты+инициативы0,262'!A385</f>
        <v>обивка для двери эконом</v>
      </c>
      <c r="B444" s="169" t="s">
        <v>82</v>
      </c>
      <c r="C444" s="318"/>
      <c r="D444" s="390">
        <f>Лист1!C155*$A$286</f>
        <v>1.476</v>
      </c>
      <c r="E444" s="448">
        <f>'таланты+инициативы0,262'!E385</f>
        <v>561</v>
      </c>
      <c r="F444" s="245">
        <f t="shared" si="16"/>
        <v>828.03599999999994</v>
      </c>
    </row>
    <row r="445" spans="1:6" ht="16.5" x14ac:dyDescent="0.25">
      <c r="A445" s="216" t="str">
        <f>'таланты+инициативы0,262'!A386</f>
        <v>клей момент-монтаж</v>
      </c>
      <c r="B445" s="169" t="s">
        <v>82</v>
      </c>
      <c r="C445" s="318"/>
      <c r="D445" s="390">
        <f>Лист1!C156*$A$286</f>
        <v>0.73799999999999999</v>
      </c>
      <c r="E445" s="448">
        <f>'таланты+инициативы0,262'!E386</f>
        <v>395</v>
      </c>
      <c r="F445" s="245">
        <f t="shared" si="16"/>
        <v>291.51</v>
      </c>
    </row>
    <row r="446" spans="1:6" ht="16.5" x14ac:dyDescent="0.25">
      <c r="A446" s="216" t="str">
        <f>'таланты+инициативы0,262'!A387</f>
        <v>кисть акор 38*13</v>
      </c>
      <c r="B446" s="169" t="s">
        <v>82</v>
      </c>
      <c r="C446" s="318"/>
      <c r="D446" s="390">
        <f>Лист1!C157*$A$286</f>
        <v>0.36899999999999999</v>
      </c>
      <c r="E446" s="448">
        <f>'таланты+инициативы0,262'!E387</f>
        <v>50</v>
      </c>
      <c r="F446" s="245">
        <f t="shared" si="16"/>
        <v>18.45</v>
      </c>
    </row>
    <row r="447" spans="1:6" ht="16.5" x14ac:dyDescent="0.25">
      <c r="A447" s="216" t="str">
        <f>'таланты+инициативы0,262'!A388</f>
        <v>кисть акор 25*10</v>
      </c>
      <c r="B447" s="169" t="s">
        <v>82</v>
      </c>
      <c r="C447" s="318"/>
      <c r="D447" s="390">
        <f>Лист1!C158*$A$286</f>
        <v>0.36899999999999999</v>
      </c>
      <c r="E447" s="448">
        <f>'таланты+инициативы0,262'!E388</f>
        <v>40</v>
      </c>
      <c r="F447" s="245">
        <f t="shared" si="16"/>
        <v>14.76</v>
      </c>
    </row>
    <row r="448" spans="1:6" ht="16.5" x14ac:dyDescent="0.25">
      <c r="A448" s="216" t="str">
        <f>'таланты+инициативы0,262'!A389</f>
        <v>саморез с прессшайбой</v>
      </c>
      <c r="B448" s="169" t="s">
        <v>82</v>
      </c>
      <c r="C448" s="292"/>
      <c r="D448" s="390">
        <f>Лист1!C159*$A$286</f>
        <v>18.45</v>
      </c>
      <c r="E448" s="448">
        <f>'таланты+инициативы0,262'!E389</f>
        <v>1</v>
      </c>
      <c r="F448" s="245">
        <f t="shared" si="16"/>
        <v>18.45</v>
      </c>
    </row>
    <row r="449" spans="1:6" ht="16.5" x14ac:dyDescent="0.25">
      <c r="A449" s="216" t="str">
        <f>'таланты+инициативы0,262'!A390</f>
        <v>грунт алк серый 2,1</v>
      </c>
      <c r="B449" s="169" t="s">
        <v>82</v>
      </c>
      <c r="C449" s="292"/>
      <c r="D449" s="390">
        <f>Лист1!C160*$A$286</f>
        <v>0.36899999999999999</v>
      </c>
      <c r="E449" s="448">
        <f>'таланты+инициативы0,262'!E390</f>
        <v>468</v>
      </c>
      <c r="F449" s="245">
        <f t="shared" si="16"/>
        <v>172.69200000000001</v>
      </c>
    </row>
    <row r="450" spans="1:6" ht="16.5" x14ac:dyDescent="0.25">
      <c r="A450" s="216" t="str">
        <f>'таланты+инициативы0,262'!A391</f>
        <v>грунт алк серый 1 кг</v>
      </c>
      <c r="B450" s="169" t="s">
        <v>82</v>
      </c>
      <c r="C450" s="292"/>
      <c r="D450" s="390">
        <f>Лист1!C161*$A$286</f>
        <v>0.36899999999999999</v>
      </c>
      <c r="E450" s="448">
        <f>'таланты+инициативы0,262'!E391</f>
        <v>230</v>
      </c>
      <c r="F450" s="245">
        <f t="shared" si="16"/>
        <v>84.87</v>
      </c>
    </row>
    <row r="451" spans="1:6" ht="16.5" x14ac:dyDescent="0.25">
      <c r="A451" s="216" t="str">
        <f>'таланты+инициативы0,262'!A392</f>
        <v>кисть акор 35*10</v>
      </c>
      <c r="B451" s="169" t="s">
        <v>82</v>
      </c>
      <c r="C451" s="292"/>
      <c r="D451" s="390">
        <f>Лист1!C162*$A$286</f>
        <v>1.476</v>
      </c>
      <c r="E451" s="448">
        <f>'таланты+инициативы0,262'!E392</f>
        <v>40</v>
      </c>
      <c r="F451" s="245">
        <f t="shared" si="16"/>
        <v>59.04</v>
      </c>
    </row>
    <row r="452" spans="1:6" ht="16.5" x14ac:dyDescent="0.25">
      <c r="A452" s="216" t="str">
        <f>'таланты+инициативы0,262'!A393</f>
        <v>растворитель</v>
      </c>
      <c r="B452" s="169" t="s">
        <v>82</v>
      </c>
      <c r="C452" s="292"/>
      <c r="D452" s="390">
        <f>Лист1!C163*$A$286</f>
        <v>0.73799999999999999</v>
      </c>
      <c r="E452" s="448">
        <f>'таланты+инициативы0,262'!E393</f>
        <v>184</v>
      </c>
      <c r="F452" s="245">
        <f t="shared" si="16"/>
        <v>135.792</v>
      </c>
    </row>
    <row r="453" spans="1:6" ht="16.5" x14ac:dyDescent="0.25">
      <c r="A453" s="216" t="str">
        <f>'таланты+инициативы0,262'!A394</f>
        <v>эмаль пф-115</v>
      </c>
      <c r="B453" s="169" t="s">
        <v>82</v>
      </c>
      <c r="C453" s="292"/>
      <c r="D453" s="390">
        <f>Лист1!C164*$A$286</f>
        <v>0.36899999999999999</v>
      </c>
      <c r="E453" s="448">
        <f>'таланты+инициативы0,262'!E394</f>
        <v>455</v>
      </c>
      <c r="F453" s="245">
        <f t="shared" si="16"/>
        <v>167.89500000000001</v>
      </c>
    </row>
    <row r="454" spans="1:6" ht="16.5" x14ac:dyDescent="0.25">
      <c r="A454" s="216" t="str">
        <f>'таланты+инициативы0,262'!A395</f>
        <v>клей космофен</v>
      </c>
      <c r="B454" s="169" t="s">
        <v>82</v>
      </c>
      <c r="C454" s="292"/>
      <c r="D454" s="390">
        <f>Лист1!C165*$A$286</f>
        <v>0.36899999999999999</v>
      </c>
      <c r="E454" s="448">
        <f>'таланты+инициативы0,262'!E395</f>
        <v>180</v>
      </c>
      <c r="F454" s="245">
        <f t="shared" si="16"/>
        <v>66.42</v>
      </c>
    </row>
    <row r="455" spans="1:6" ht="16.5" x14ac:dyDescent="0.25">
      <c r="A455" s="216" t="str">
        <f>'таланты+инициативы0,262'!A396</f>
        <v>щетка чашечная 0,3*60</v>
      </c>
      <c r="B455" s="169" t="s">
        <v>82</v>
      </c>
      <c r="C455" s="292"/>
      <c r="D455" s="390">
        <f>Лист1!C166*$A$286</f>
        <v>1.107</v>
      </c>
      <c r="E455" s="448">
        <f>'таланты+инициативы0,262'!E396</f>
        <v>259</v>
      </c>
      <c r="F455" s="245">
        <f t="shared" si="16"/>
        <v>286.71300000000002</v>
      </c>
    </row>
    <row r="456" spans="1:6" ht="16.5" x14ac:dyDescent="0.25">
      <c r="A456" s="216" t="str">
        <f>'таланты+инициативы0,262'!A397</f>
        <v>щетка чашечная 0,3*75</v>
      </c>
      <c r="B456" s="169" t="s">
        <v>82</v>
      </c>
      <c r="C456" s="292"/>
      <c r="D456" s="390">
        <f>Лист1!C167*$A$286</f>
        <v>0.73799999999999999</v>
      </c>
      <c r="E456" s="448">
        <f>'таланты+инициативы0,262'!E397</f>
        <v>288</v>
      </c>
      <c r="F456" s="245">
        <f t="shared" si="16"/>
        <v>212.54399999999998</v>
      </c>
    </row>
    <row r="457" spans="1:6" ht="16.5" x14ac:dyDescent="0.25">
      <c r="A457" s="216" t="str">
        <f>'таланты+инициативы0,262'!A398</f>
        <v>угол внутренний, наружный</v>
      </c>
      <c r="B457" s="169" t="s">
        <v>82</v>
      </c>
      <c r="C457" s="292"/>
      <c r="D457" s="390">
        <f>Лист1!C168*$A$286</f>
        <v>7.38</v>
      </c>
      <c r="E457" s="448">
        <f>'таланты+инициативы0,262'!E398</f>
        <v>14.4</v>
      </c>
      <c r="F457" s="245">
        <f t="shared" si="16"/>
        <v>106.27200000000001</v>
      </c>
    </row>
    <row r="458" spans="1:6" ht="16.5" x14ac:dyDescent="0.25">
      <c r="A458" s="216" t="str">
        <f>'таланты+инициативы0,262'!A399</f>
        <v>биты 10 шт</v>
      </c>
      <c r="B458" s="169" t="s">
        <v>82</v>
      </c>
      <c r="C458" s="292"/>
      <c r="D458" s="390">
        <f>Лист1!C169*$A$286</f>
        <v>3.69</v>
      </c>
      <c r="E458" s="448">
        <f>'таланты+инициативы0,262'!E399</f>
        <v>18</v>
      </c>
      <c r="F458" s="245">
        <f t="shared" ref="F458:F516" si="17">D458*E458</f>
        <v>66.42</v>
      </c>
    </row>
    <row r="459" spans="1:6" ht="16.5" x14ac:dyDescent="0.25">
      <c r="A459" s="216" t="str">
        <f>'таланты+инициативы0,262'!A400</f>
        <v>болт шестигранный</v>
      </c>
      <c r="B459" s="169" t="s">
        <v>82</v>
      </c>
      <c r="C459" s="292"/>
      <c r="D459" s="390">
        <f>Лист1!C170*$A$286</f>
        <v>33.579000000000001</v>
      </c>
      <c r="E459" s="448">
        <f>'таланты+инициативы0,262'!E400</f>
        <v>10</v>
      </c>
      <c r="F459" s="245">
        <f t="shared" si="17"/>
        <v>335.79</v>
      </c>
    </row>
    <row r="460" spans="1:6" ht="16.5" x14ac:dyDescent="0.25">
      <c r="A460" s="216" t="str">
        <f>'таланты+инициативы0,262'!A401</f>
        <v>гайка шестигранная</v>
      </c>
      <c r="B460" s="169" t="s">
        <v>82</v>
      </c>
      <c r="C460" s="292"/>
      <c r="D460" s="390">
        <f>Лист1!C171*$A$286</f>
        <v>33.579000000000001</v>
      </c>
      <c r="E460" s="448">
        <f>'таланты+инициативы0,262'!E401</f>
        <v>2.5</v>
      </c>
      <c r="F460" s="245">
        <f t="shared" si="17"/>
        <v>83.947500000000005</v>
      </c>
    </row>
    <row r="461" spans="1:6" ht="16.5" x14ac:dyDescent="0.25">
      <c r="A461" s="216" t="str">
        <f>'таланты+инициативы0,262'!A402</f>
        <v>шайба плоская</v>
      </c>
      <c r="B461" s="169" t="s">
        <v>82</v>
      </c>
      <c r="C461" s="292"/>
      <c r="D461" s="390">
        <f>Лист1!C172*$A$286</f>
        <v>66.42</v>
      </c>
      <c r="E461" s="448">
        <f>'таланты+инициативы0,262'!E402</f>
        <v>2.5</v>
      </c>
      <c r="F461" s="245">
        <f t="shared" si="17"/>
        <v>166.05</v>
      </c>
    </row>
    <row r="462" spans="1:6" ht="16.5" x14ac:dyDescent="0.25">
      <c r="A462" s="216" t="str">
        <f>'таланты+инициативы0,262'!A403</f>
        <v>сверло по металлу</v>
      </c>
      <c r="B462" s="169" t="s">
        <v>82</v>
      </c>
      <c r="C462" s="292"/>
      <c r="D462" s="390">
        <f>Лист1!C173*$A$286</f>
        <v>0.36899999999999999</v>
      </c>
      <c r="E462" s="448">
        <f>'таланты+инициативы0,262'!E403</f>
        <v>320</v>
      </c>
      <c r="F462" s="245">
        <f t="shared" si="17"/>
        <v>118.08</v>
      </c>
    </row>
    <row r="463" spans="1:6" ht="16.5" x14ac:dyDescent="0.25">
      <c r="A463" s="216" t="str">
        <f>'таланты+инициативы0,262'!A404</f>
        <v>винт головка полусфера 5*50</v>
      </c>
      <c r="B463" s="169" t="s">
        <v>82</v>
      </c>
      <c r="C463" s="292"/>
      <c r="D463" s="390">
        <f>Лист1!C174*$A$286</f>
        <v>64.206000000000003</v>
      </c>
      <c r="E463" s="448">
        <f>'таланты+инициативы0,262'!E404</f>
        <v>3</v>
      </c>
      <c r="F463" s="245">
        <f t="shared" si="17"/>
        <v>192.61799999999999</v>
      </c>
    </row>
    <row r="464" spans="1:6" ht="16.5" x14ac:dyDescent="0.25">
      <c r="A464" s="216" t="str">
        <f>'таланты+инициативы0,262'!A405</f>
        <v>винт головка полусфера 5*40</v>
      </c>
      <c r="B464" s="169" t="s">
        <v>82</v>
      </c>
      <c r="C464" s="292"/>
      <c r="D464" s="390">
        <f>Лист1!C175*$A$286</f>
        <v>25.460999999999999</v>
      </c>
      <c r="E464" s="448">
        <f>'таланты+инициативы0,262'!E405</f>
        <v>2.5</v>
      </c>
      <c r="F464" s="245">
        <f t="shared" si="17"/>
        <v>63.652499999999996</v>
      </c>
    </row>
    <row r="465" spans="1:6" ht="16.5" x14ac:dyDescent="0.25">
      <c r="A465" s="216" t="str">
        <f>'таланты+инициативы0,262'!A406</f>
        <v>винт головка полусфера 5*40</v>
      </c>
      <c r="B465" s="169" t="s">
        <v>82</v>
      </c>
      <c r="C465" s="292"/>
      <c r="D465" s="390">
        <f>Лист1!C176*$A$286</f>
        <v>26.198999999999998</v>
      </c>
      <c r="E465" s="448">
        <f>'таланты+инициативы0,262'!E406</f>
        <v>2</v>
      </c>
      <c r="F465" s="245">
        <f t="shared" si="17"/>
        <v>52.397999999999996</v>
      </c>
    </row>
    <row r="466" spans="1:6" ht="16.5" x14ac:dyDescent="0.25">
      <c r="A466" s="216" t="str">
        <f>'таланты+инициативы0,262'!A407</f>
        <v>сверло по металллу</v>
      </c>
      <c r="B466" s="169" t="s">
        <v>82</v>
      </c>
      <c r="C466" s="292"/>
      <c r="D466" s="390">
        <f>Лист1!C177*$A$286</f>
        <v>1.476</v>
      </c>
      <c r="E466" s="448">
        <f>'таланты+инициативы0,262'!E407</f>
        <v>306</v>
      </c>
      <c r="F466" s="245">
        <f t="shared" si="17"/>
        <v>451.65600000000001</v>
      </c>
    </row>
    <row r="467" spans="1:6" ht="16.5" x14ac:dyDescent="0.25">
      <c r="A467" s="216" t="str">
        <f>'таланты+инициативы0,262'!A408</f>
        <v>сверло по металллу 5*86</v>
      </c>
      <c r="B467" s="169" t="s">
        <v>82</v>
      </c>
      <c r="C467" s="318"/>
      <c r="D467" s="390">
        <f>Лист1!C178*$A$286</f>
        <v>1.476</v>
      </c>
      <c r="E467" s="448">
        <f>'таланты+инициативы0,262'!E408</f>
        <v>235</v>
      </c>
      <c r="F467" s="245">
        <f t="shared" si="17"/>
        <v>346.86</v>
      </c>
    </row>
    <row r="468" spans="1:6" ht="16.5" x14ac:dyDescent="0.25">
      <c r="A468" s="216" t="str">
        <f>'таланты+инициативы0,262'!A409</f>
        <v>петля накладная цинк</v>
      </c>
      <c r="B468" s="169" t="s">
        <v>82</v>
      </c>
      <c r="C468" s="318"/>
      <c r="D468" s="390">
        <f>Лист1!C179*$A$286</f>
        <v>0.73799999999999999</v>
      </c>
      <c r="E468" s="448">
        <f>'таланты+инициативы0,262'!E409</f>
        <v>26</v>
      </c>
      <c r="F468" s="245">
        <f t="shared" si="17"/>
        <v>19.187999999999999</v>
      </c>
    </row>
    <row r="469" spans="1:6" ht="16.5" x14ac:dyDescent="0.25">
      <c r="A469" s="216" t="str">
        <f>'таланты+инициативы0,262'!A410</f>
        <v>гайка со стоп кольцом</v>
      </c>
      <c r="B469" s="169" t="s">
        <v>82</v>
      </c>
      <c r="C469" s="318"/>
      <c r="D469" s="390">
        <f>Лист1!C180*$A$286</f>
        <v>115.866</v>
      </c>
      <c r="E469" s="448">
        <f>'таланты+инициативы0,262'!E410</f>
        <v>1</v>
      </c>
      <c r="F469" s="245">
        <f t="shared" si="17"/>
        <v>115.866</v>
      </c>
    </row>
    <row r="470" spans="1:6" ht="16.5" x14ac:dyDescent="0.25">
      <c r="A470" s="216" t="str">
        <f>'таланты+инициативы0,262'!A411</f>
        <v>шайба плоская</v>
      </c>
      <c r="B470" s="169" t="s">
        <v>82</v>
      </c>
      <c r="C470" s="318"/>
      <c r="D470" s="390">
        <f>Лист1!C181*$A$286</f>
        <v>231.732</v>
      </c>
      <c r="E470" s="448">
        <f>'таланты+инициативы0,262'!E411</f>
        <v>1</v>
      </c>
      <c r="F470" s="245">
        <f t="shared" si="17"/>
        <v>231.732</v>
      </c>
    </row>
    <row r="471" spans="1:6" ht="16.5" x14ac:dyDescent="0.25">
      <c r="A471" s="216" t="str">
        <f>'таланты+инициативы0,262'!A412</f>
        <v>сердцевина в замок</v>
      </c>
      <c r="B471" s="169" t="s">
        <v>82</v>
      </c>
      <c r="C471" s="318"/>
      <c r="D471" s="390">
        <f>Лист1!C182*$A$286</f>
        <v>0.73799999999999999</v>
      </c>
      <c r="E471" s="448">
        <f>'таланты+инициативы0,262'!E412</f>
        <v>224</v>
      </c>
      <c r="F471" s="245">
        <f t="shared" si="17"/>
        <v>165.31200000000001</v>
      </c>
    </row>
    <row r="472" spans="1:6" ht="16.5" x14ac:dyDescent="0.25">
      <c r="A472" s="216" t="str">
        <f>'таланты+инициативы0,262'!A413</f>
        <v>ограничитель напольный</v>
      </c>
      <c r="B472" s="169" t="s">
        <v>82</v>
      </c>
      <c r="C472" s="318"/>
      <c r="D472" s="390">
        <f>Лист1!C183*$A$286</f>
        <v>1.107</v>
      </c>
      <c r="E472" s="448">
        <f>'таланты+инициативы0,262'!E413</f>
        <v>51</v>
      </c>
      <c r="F472" s="245">
        <f t="shared" si="17"/>
        <v>56.457000000000001</v>
      </c>
    </row>
    <row r="473" spans="1:6" ht="16.5" x14ac:dyDescent="0.25">
      <c r="A473" s="216" t="str">
        <f>'таланты+инициативы0,262'!A414</f>
        <v>обивка для двери эконом</v>
      </c>
      <c r="B473" s="169" t="s">
        <v>82</v>
      </c>
      <c r="C473" s="318"/>
      <c r="D473" s="390">
        <f>Лист1!C184*$A$286</f>
        <v>0.36899999999999999</v>
      </c>
      <c r="E473" s="448">
        <f>'таланты+инициативы0,262'!E414</f>
        <v>561</v>
      </c>
      <c r="F473" s="245">
        <f t="shared" si="17"/>
        <v>207.00899999999999</v>
      </c>
    </row>
    <row r="474" spans="1:6" ht="16.5" x14ac:dyDescent="0.25">
      <c r="A474" s="216" t="str">
        <f>'таланты+инициативы0,262'!A415</f>
        <v>щетка чашечная 0,3*60</v>
      </c>
      <c r="B474" s="169" t="s">
        <v>82</v>
      </c>
      <c r="C474" s="318"/>
      <c r="D474" s="390">
        <f>Лист1!C185*$A$286</f>
        <v>1.476</v>
      </c>
      <c r="E474" s="448">
        <f>'таланты+инициативы0,262'!E415</f>
        <v>259</v>
      </c>
      <c r="F474" s="245">
        <f t="shared" si="17"/>
        <v>382.28399999999999</v>
      </c>
    </row>
    <row r="475" spans="1:6" ht="16.5" x14ac:dyDescent="0.25">
      <c r="A475" s="216" t="str">
        <f>'таланты+инициативы0,262'!A416</f>
        <v>саморез с прессшайбой</v>
      </c>
      <c r="B475" s="169" t="s">
        <v>82</v>
      </c>
      <c r="C475" s="318"/>
      <c r="D475" s="390">
        <f>Лист1!C186*$A$286</f>
        <v>11.07</v>
      </c>
      <c r="E475" s="448">
        <f>'таланты+инициативы0,262'!E416</f>
        <v>1</v>
      </c>
      <c r="F475" s="245">
        <f t="shared" si="17"/>
        <v>11.07</v>
      </c>
    </row>
    <row r="476" spans="1:6" ht="16.5" x14ac:dyDescent="0.25">
      <c r="A476" s="216" t="str">
        <f>'таланты+инициативы0,262'!A417</f>
        <v>звонок беспроводной</v>
      </c>
      <c r="B476" s="169" t="s">
        <v>82</v>
      </c>
      <c r="C476" s="320"/>
      <c r="D476" s="390">
        <f>Лист1!C187*$A$286</f>
        <v>0.36899999999999999</v>
      </c>
      <c r="E476" s="448">
        <f>'таланты+инициативы0,262'!E417</f>
        <v>1111</v>
      </c>
      <c r="F476" s="245">
        <f t="shared" si="17"/>
        <v>409.959</v>
      </c>
    </row>
    <row r="477" spans="1:6" ht="16.5" x14ac:dyDescent="0.25">
      <c r="A477" s="216" t="str">
        <f>'таланты+инициативы0,262'!A418</f>
        <v>кисть акор 75*12</v>
      </c>
      <c r="B477" s="169" t="s">
        <v>82</v>
      </c>
      <c r="C477" s="320"/>
      <c r="D477" s="390">
        <f>Лист1!C188*$A$286</f>
        <v>0.36899999999999999</v>
      </c>
      <c r="E477" s="448">
        <f>'таланты+инициативы0,262'!E418</f>
        <v>63</v>
      </c>
      <c r="F477" s="245">
        <f t="shared" si="17"/>
        <v>23.247</v>
      </c>
    </row>
    <row r="478" spans="1:6" ht="16.5" x14ac:dyDescent="0.25">
      <c r="A478" s="216" t="str">
        <f>'таланты+инициативы0,262'!A419</f>
        <v>кисть акор 50*10</v>
      </c>
      <c r="B478" s="169" t="s">
        <v>82</v>
      </c>
      <c r="C478" s="320"/>
      <c r="D478" s="390">
        <f>Лист1!C189*$A$286</f>
        <v>0.36899999999999999</v>
      </c>
      <c r="E478" s="448">
        <f>'таланты+инициативы0,262'!E419</f>
        <v>39</v>
      </c>
      <c r="F478" s="245">
        <f t="shared" si="17"/>
        <v>14.391</v>
      </c>
    </row>
    <row r="479" spans="1:6" ht="16.5" x14ac:dyDescent="0.25">
      <c r="A479" s="216" t="str">
        <f>'таланты+инициативы0,262'!A420</f>
        <v>клей момент-монтаж</v>
      </c>
      <c r="B479" s="169" t="s">
        <v>82</v>
      </c>
      <c r="C479" s="320"/>
      <c r="D479" s="390">
        <f>Лист1!C190*$A$286</f>
        <v>6.2729999999999997</v>
      </c>
      <c r="E479" s="448">
        <f>'таланты+инициативы0,262'!E420</f>
        <v>395</v>
      </c>
      <c r="F479" s="245">
        <f t="shared" si="17"/>
        <v>2477.835</v>
      </c>
    </row>
    <row r="480" spans="1:6" ht="16.5" x14ac:dyDescent="0.25">
      <c r="A480" s="216" t="str">
        <f>'таланты+инициативы0,262'!A421</f>
        <v>эмаль-аэрозоль</v>
      </c>
      <c r="B480" s="169" t="s">
        <v>82</v>
      </c>
      <c r="C480" s="320"/>
      <c r="D480" s="390">
        <f>Лист1!C191*$A$286</f>
        <v>2.5830000000000002</v>
      </c>
      <c r="E480" s="448">
        <f>'таланты+инициативы0,262'!E421</f>
        <v>215</v>
      </c>
      <c r="F480" s="245">
        <f t="shared" si="17"/>
        <v>555.34500000000003</v>
      </c>
    </row>
    <row r="481" spans="1:6" ht="16.5" x14ac:dyDescent="0.25">
      <c r="A481" s="216" t="str">
        <f>'таланты+инициативы0,262'!A422</f>
        <v>аквалазурь</v>
      </c>
      <c r="B481" s="169" t="s">
        <v>82</v>
      </c>
      <c r="C481" s="320"/>
      <c r="D481" s="390">
        <f>Лист1!C192*$A$286</f>
        <v>0.36899999999999999</v>
      </c>
      <c r="E481" s="448">
        <f>'таланты+инициативы0,262'!E422</f>
        <v>450</v>
      </c>
      <c r="F481" s="245">
        <f t="shared" si="17"/>
        <v>166.05</v>
      </c>
    </row>
    <row r="482" spans="1:6" ht="16.5" x14ac:dyDescent="0.25">
      <c r="A482" s="216" t="str">
        <f>'таланты+инициативы0,262'!A423</f>
        <v>кисть акор 50*14</v>
      </c>
      <c r="B482" s="169" t="s">
        <v>82</v>
      </c>
      <c r="C482" s="320"/>
      <c r="D482" s="390">
        <f>Лист1!C193*$A$286</f>
        <v>0.36899999999999999</v>
      </c>
      <c r="E482" s="448">
        <f>'таланты+инициативы0,262'!E423</f>
        <v>68</v>
      </c>
      <c r="F482" s="245">
        <f t="shared" si="17"/>
        <v>25.091999999999999</v>
      </c>
    </row>
    <row r="483" spans="1:6" ht="16.5" x14ac:dyDescent="0.25">
      <c r="A483" s="216" t="str">
        <f>'таланты+инициативы0,262'!A424</f>
        <v>кисть акор 25*10</v>
      </c>
      <c r="B483" s="169" t="s">
        <v>82</v>
      </c>
      <c r="C483" s="320"/>
      <c r="D483" s="390">
        <f>Лист1!C194*$A$286</f>
        <v>0.36899999999999999</v>
      </c>
      <c r="E483" s="448">
        <f>'таланты+инициативы0,262'!E424</f>
        <v>40</v>
      </c>
      <c r="F483" s="245">
        <f t="shared" si="17"/>
        <v>14.76</v>
      </c>
    </row>
    <row r="484" spans="1:6" ht="16.5" x14ac:dyDescent="0.25">
      <c r="A484" s="216" t="str">
        <f>'таланты+инициативы0,262'!A425</f>
        <v>шуруп кольцо</v>
      </c>
      <c r="B484" s="169" t="s">
        <v>82</v>
      </c>
      <c r="C484" s="320"/>
      <c r="D484" s="390">
        <f>Лист1!C195*$A$286</f>
        <v>0.73799999999999999</v>
      </c>
      <c r="E484" s="448">
        <f>'таланты+инициативы0,262'!E425</f>
        <v>47</v>
      </c>
      <c r="F484" s="245">
        <f t="shared" si="17"/>
        <v>34.686</v>
      </c>
    </row>
    <row r="485" spans="1:6" ht="16.5" x14ac:dyDescent="0.25">
      <c r="A485" s="216" t="str">
        <f>'таланты+инициативы0,262'!A426</f>
        <v>болт шестигранник</v>
      </c>
      <c r="B485" s="169" t="s">
        <v>82</v>
      </c>
      <c r="C485" s="320"/>
      <c r="D485" s="390">
        <f>Лист1!C196*$A$286</f>
        <v>3.69</v>
      </c>
      <c r="E485" s="448">
        <f>'таланты+инициативы0,262'!E426</f>
        <v>7</v>
      </c>
      <c r="F485" s="245">
        <f t="shared" si="17"/>
        <v>25.83</v>
      </c>
    </row>
    <row r="486" spans="1:6" ht="16.5" x14ac:dyDescent="0.25">
      <c r="A486" s="216" t="str">
        <f>'таланты+инициативы0,262'!A427</f>
        <v>клей монтажный</v>
      </c>
      <c r="B486" s="169" t="s">
        <v>82</v>
      </c>
      <c r="C486" s="320"/>
      <c r="D486" s="390">
        <f>Лист1!C197*$A$286</f>
        <v>2.214</v>
      </c>
      <c r="E486" s="448">
        <f>'таланты+инициативы0,262'!E427</f>
        <v>185</v>
      </c>
      <c r="F486" s="245">
        <f t="shared" si="17"/>
        <v>409.59</v>
      </c>
    </row>
    <row r="487" spans="1:6" ht="16.5" x14ac:dyDescent="0.25">
      <c r="A487" s="216" t="str">
        <f>'таланты+инициативы0,262'!A428</f>
        <v>лопата снеговая</v>
      </c>
      <c r="B487" s="169" t="s">
        <v>82</v>
      </c>
      <c r="C487" s="320"/>
      <c r="D487" s="390">
        <f>Лист1!C198*$A$286</f>
        <v>0.36899999999999999</v>
      </c>
      <c r="E487" s="448">
        <f>'таланты+инициативы0,262'!E428</f>
        <v>250</v>
      </c>
      <c r="F487" s="245">
        <f t="shared" si="17"/>
        <v>92.25</v>
      </c>
    </row>
    <row r="488" spans="1:6" ht="16.5" x14ac:dyDescent="0.25">
      <c r="A488" s="216" t="str">
        <f>'таланты+инициативы0,262'!A429</f>
        <v>универсальный колер</v>
      </c>
      <c r="B488" s="169" t="s">
        <v>82</v>
      </c>
      <c r="C488" s="320"/>
      <c r="D488" s="390">
        <f>Лист1!C199*$A$286</f>
        <v>1.107</v>
      </c>
      <c r="E488" s="448">
        <f>'таланты+инициативы0,262'!E429</f>
        <v>175</v>
      </c>
      <c r="F488" s="245">
        <f t="shared" si="17"/>
        <v>193.72499999999999</v>
      </c>
    </row>
    <row r="489" spans="1:6" ht="16.5" x14ac:dyDescent="0.25">
      <c r="A489" s="216" t="str">
        <f>'таланты+инициативы0,262'!A430</f>
        <v>паста колеровочная</v>
      </c>
      <c r="B489" s="169" t="s">
        <v>82</v>
      </c>
      <c r="C489" s="320"/>
      <c r="D489" s="390">
        <f>Лист1!C200*$A$286</f>
        <v>0.36899999999999999</v>
      </c>
      <c r="E489" s="448">
        <f>'таланты+инициативы0,262'!E430</f>
        <v>56</v>
      </c>
      <c r="F489" s="245">
        <f t="shared" si="17"/>
        <v>20.664000000000001</v>
      </c>
    </row>
    <row r="490" spans="1:6" ht="16.5" x14ac:dyDescent="0.25">
      <c r="A490" s="216" t="str">
        <f>'таланты+инициативы0,262'!A431</f>
        <v>клей момент-монтаж</v>
      </c>
      <c r="B490" s="169" t="s">
        <v>82</v>
      </c>
      <c r="C490" s="320"/>
      <c r="D490" s="390">
        <f>Лист1!C201*$A$286</f>
        <v>0.73799999999999999</v>
      </c>
      <c r="E490" s="448">
        <f>'таланты+инициативы0,262'!E431</f>
        <v>355</v>
      </c>
      <c r="F490" s="245">
        <f t="shared" si="17"/>
        <v>261.99</v>
      </c>
    </row>
    <row r="491" spans="1:6" ht="16.5" x14ac:dyDescent="0.25">
      <c r="A491" s="216" t="str">
        <f>'таланты+инициативы0,262'!A432</f>
        <v>ГСМ УАЗ (Масло двигатель)</v>
      </c>
      <c r="B491" s="169" t="s">
        <v>82</v>
      </c>
      <c r="C491" s="320"/>
      <c r="D491" s="390">
        <f>Лист1!C202*$A$286</f>
        <v>0</v>
      </c>
      <c r="E491" s="448">
        <f>'таланты+инициативы0,262'!E432</f>
        <v>400</v>
      </c>
      <c r="F491" s="245">
        <f t="shared" si="17"/>
        <v>0</v>
      </c>
    </row>
    <row r="492" spans="1:6" ht="16.5" x14ac:dyDescent="0.25">
      <c r="A492" s="216" t="str">
        <f>'таланты+инициативы0,262'!A433</f>
        <v>Чернила Canon 135 мл черные</v>
      </c>
      <c r="B492" s="169" t="s">
        <v>82</v>
      </c>
      <c r="C492" s="320"/>
      <c r="D492" s="390">
        <f>Лист1!C203*$A$286</f>
        <v>1.107</v>
      </c>
      <c r="E492" s="448">
        <f>'таланты+инициативы0,262'!E433</f>
        <v>1100</v>
      </c>
      <c r="F492" s="245">
        <f t="shared" si="17"/>
        <v>1217.7</v>
      </c>
    </row>
    <row r="493" spans="1:6" ht="16.5" x14ac:dyDescent="0.25">
      <c r="A493" s="216" t="str">
        <f>'таланты+инициативы0,262'!A434</f>
        <v>Чернила Canon 70 мл голубые</v>
      </c>
      <c r="B493" s="169" t="s">
        <v>82</v>
      </c>
      <c r="C493" s="320"/>
      <c r="D493" s="390">
        <f>Лист1!C204*$A$286</f>
        <v>1.107</v>
      </c>
      <c r="E493" s="448">
        <f>'таланты+инициативы0,262'!E434</f>
        <v>1100</v>
      </c>
      <c r="F493" s="245">
        <f t="shared" si="17"/>
        <v>1217.7</v>
      </c>
    </row>
    <row r="494" spans="1:6" ht="16.5" x14ac:dyDescent="0.25">
      <c r="A494" s="216" t="str">
        <f>'таланты+инициативы0,262'!A435</f>
        <v>Чернила Canon 70 мл урпур</v>
      </c>
      <c r="B494" s="169" t="s">
        <v>82</v>
      </c>
      <c r="C494" s="320"/>
      <c r="D494" s="390">
        <f>Лист1!C205*$A$286</f>
        <v>1.107</v>
      </c>
      <c r="E494" s="448">
        <f>'таланты+инициативы0,262'!E435</f>
        <v>1100</v>
      </c>
      <c r="F494" s="245">
        <f t="shared" si="17"/>
        <v>1217.7</v>
      </c>
    </row>
    <row r="495" spans="1:6" ht="16.5" x14ac:dyDescent="0.25">
      <c r="A495" s="216" t="str">
        <f>'таланты+инициативы0,262'!A436</f>
        <v>Чернила Canon 70 мл желтые</v>
      </c>
      <c r="B495" s="169" t="s">
        <v>82</v>
      </c>
      <c r="C495" s="320"/>
      <c r="D495" s="390">
        <f>Лист1!C206*$A$286</f>
        <v>1.107</v>
      </c>
      <c r="E495" s="448">
        <f>'таланты+инициативы0,262'!E436</f>
        <v>1100</v>
      </c>
      <c r="F495" s="245">
        <f t="shared" si="17"/>
        <v>1217.7</v>
      </c>
    </row>
    <row r="496" spans="1:6" ht="16.5" x14ac:dyDescent="0.25">
      <c r="A496" s="216" t="str">
        <f>'таланты+инициативы0,262'!A437</f>
        <v>батарейка ААА</v>
      </c>
      <c r="B496" s="169" t="s">
        <v>82</v>
      </c>
      <c r="C496" s="320"/>
      <c r="D496" s="390">
        <f>Лист1!C207*$A$286</f>
        <v>36.9</v>
      </c>
      <c r="E496" s="448">
        <f>'таланты+инициативы0,262'!E437</f>
        <v>50</v>
      </c>
      <c r="F496" s="245">
        <f t="shared" si="17"/>
        <v>1845</v>
      </c>
    </row>
    <row r="497" spans="1:6" ht="16.5" x14ac:dyDescent="0.25">
      <c r="A497" s="216" t="str">
        <f>'таланты+инициативы0,262'!A438</f>
        <v>батарейка АА</v>
      </c>
      <c r="B497" s="169" t="s">
        <v>82</v>
      </c>
      <c r="C497" s="320"/>
      <c r="D497" s="390">
        <f>Лист1!C208*$A$286</f>
        <v>36.9</v>
      </c>
      <c r="E497" s="448">
        <f>'таланты+инициативы0,262'!E438</f>
        <v>60</v>
      </c>
      <c r="F497" s="245">
        <f t="shared" si="17"/>
        <v>2214</v>
      </c>
    </row>
    <row r="498" spans="1:6" ht="16.5" x14ac:dyDescent="0.25">
      <c r="A498" s="216" t="str">
        <f>'таланты+инициативы0,262'!A439</f>
        <v>ГСМ Бензин</v>
      </c>
      <c r="B498" s="169" t="s">
        <v>82</v>
      </c>
      <c r="C498" s="320"/>
      <c r="D498" s="390">
        <f>Лист1!C209*$A$286</f>
        <v>738</v>
      </c>
      <c r="E498" s="448">
        <f>'таланты+инициативы0,262'!E439</f>
        <v>49.33</v>
      </c>
      <c r="F498" s="245">
        <f t="shared" si="17"/>
        <v>36405.54</v>
      </c>
    </row>
    <row r="499" spans="1:6" ht="16.5" x14ac:dyDescent="0.25">
      <c r="A499" s="216" t="str">
        <f>'таланты+инициативы0,262'!A440</f>
        <v>ГСМ Бензин</v>
      </c>
      <c r="B499" s="169" t="s">
        <v>82</v>
      </c>
      <c r="C499" s="320"/>
      <c r="D499" s="390">
        <f>Лист1!C210*$A$286</f>
        <v>36.9</v>
      </c>
      <c r="E499" s="448">
        <f>'таланты+инициативы0,262'!E440</f>
        <v>43.436</v>
      </c>
      <c r="F499" s="245">
        <f t="shared" si="17"/>
        <v>1602.7883999999999</v>
      </c>
    </row>
    <row r="500" spans="1:6" ht="16.5" x14ac:dyDescent="0.25">
      <c r="A500" s="216" t="str">
        <f>'таланты+инициативы0,262'!A441</f>
        <v>Профиль металлический</v>
      </c>
      <c r="B500" s="169" t="s">
        <v>82</v>
      </c>
      <c r="C500" s="320"/>
      <c r="D500" s="390">
        <f>Лист1!C211*$A$286</f>
        <v>1.845</v>
      </c>
      <c r="E500" s="448">
        <f>'таланты+инициативы0,262'!E441</f>
        <v>2200</v>
      </c>
      <c r="F500" s="245">
        <f t="shared" si="17"/>
        <v>4059</v>
      </c>
    </row>
    <row r="501" spans="1:6" ht="16.5" x14ac:dyDescent="0.25">
      <c r="A501" s="216" t="str">
        <f>'таланты+инициативы0,262'!A442</f>
        <v>Цемент</v>
      </c>
      <c r="B501" s="169" t="s">
        <v>82</v>
      </c>
      <c r="C501" s="320"/>
      <c r="D501" s="390">
        <f>Лист1!C212*$A$286</f>
        <v>0.73799999999999999</v>
      </c>
      <c r="E501" s="448">
        <f>'таланты+инициативы0,262'!E442</f>
        <v>900</v>
      </c>
      <c r="F501" s="245">
        <f t="shared" si="17"/>
        <v>664.2</v>
      </c>
    </row>
    <row r="502" spans="1:6" ht="16.5" x14ac:dyDescent="0.25">
      <c r="A502" s="216" t="str">
        <f>'таланты+инициативы0,262'!A443</f>
        <v>Саморезы</v>
      </c>
      <c r="B502" s="169" t="s">
        <v>82</v>
      </c>
      <c r="C502" s="320"/>
      <c r="D502" s="390">
        <f>Лист1!C213*$A$286</f>
        <v>0.36899999999999999</v>
      </c>
      <c r="E502" s="448">
        <f>'таланты+инициативы0,262'!E443</f>
        <v>2000</v>
      </c>
      <c r="F502" s="245">
        <f t="shared" si="17"/>
        <v>738</v>
      </c>
    </row>
    <row r="503" spans="1:6" ht="16.5" x14ac:dyDescent="0.25">
      <c r="A503" s="216" t="str">
        <f>'таланты+инициативы0,262'!A444</f>
        <v>Фанера 10 мм</v>
      </c>
      <c r="B503" s="169" t="s">
        <v>82</v>
      </c>
      <c r="C503" s="320"/>
      <c r="D503" s="390">
        <f>Лист1!C214*$A$286</f>
        <v>2.214</v>
      </c>
      <c r="E503" s="448">
        <f>'таланты+инициативы0,262'!E444</f>
        <v>1450</v>
      </c>
      <c r="F503" s="245">
        <f t="shared" si="17"/>
        <v>3210.2999999999997</v>
      </c>
    </row>
    <row r="504" spans="1:6" ht="16.5" x14ac:dyDescent="0.25">
      <c r="A504" s="216" t="str">
        <f>'таланты+инициативы0,262'!A445</f>
        <v>Перчатки, мешки</v>
      </c>
      <c r="B504" s="169" t="s">
        <v>82</v>
      </c>
      <c r="C504" s="320"/>
      <c r="D504" s="390">
        <f>Лист1!C215*$A$286</f>
        <v>0.36899999999999999</v>
      </c>
      <c r="E504" s="448">
        <f>'таланты+инициативы0,262'!E445</f>
        <v>1900</v>
      </c>
      <c r="F504" s="245">
        <f t="shared" si="17"/>
        <v>701.1</v>
      </c>
    </row>
    <row r="505" spans="1:6" ht="16.5" x14ac:dyDescent="0.25">
      <c r="A505" s="216" t="str">
        <f>'таланты+инициативы0,262'!A446</f>
        <v>Краска акриловая 10 л</v>
      </c>
      <c r="B505" s="169" t="s">
        <v>82</v>
      </c>
      <c r="C505" s="320"/>
      <c r="D505" s="390">
        <f>Лист1!C216*$A$286</f>
        <v>0.73799999999999999</v>
      </c>
      <c r="E505" s="448">
        <f>'таланты+инициативы0,262'!E446</f>
        <v>1500</v>
      </c>
      <c r="F505" s="245">
        <f t="shared" si="17"/>
        <v>1107</v>
      </c>
    </row>
    <row r="506" spans="1:6" ht="16.5" x14ac:dyDescent="0.25">
      <c r="A506" s="216" t="str">
        <f>'таланты+инициативы0,262'!A447</f>
        <v>Колер для акриловой краски в ассортименте</v>
      </c>
      <c r="B506" s="169" t="s">
        <v>82</v>
      </c>
      <c r="C506" s="320"/>
      <c r="D506" s="390">
        <f>Лист1!C217*$A$286</f>
        <v>3.69</v>
      </c>
      <c r="E506" s="448">
        <f>'таланты+инициативы0,262'!E447</f>
        <v>100</v>
      </c>
      <c r="F506" s="245">
        <f t="shared" si="17"/>
        <v>369</v>
      </c>
    </row>
    <row r="507" spans="1:6" ht="16.5" x14ac:dyDescent="0.25">
      <c r="A507" s="216" t="str">
        <f>'таланты+инициативы0,262'!A448</f>
        <v>Сверла, лезвия для лобзика</v>
      </c>
      <c r="B507" s="169" t="s">
        <v>82</v>
      </c>
      <c r="C507" s="320"/>
      <c r="D507" s="390">
        <f>Лист1!C218*$A$286</f>
        <v>0.36899999999999999</v>
      </c>
      <c r="E507" s="448">
        <f>'таланты+инициативы0,262'!E448</f>
        <v>2000</v>
      </c>
      <c r="F507" s="245">
        <f t="shared" si="17"/>
        <v>738</v>
      </c>
    </row>
    <row r="508" spans="1:6" ht="16.5" x14ac:dyDescent="0.25">
      <c r="A508" s="216" t="str">
        <f>'таланты+инициативы0,262'!A449</f>
        <v>Кабель бабина витая пара UTP, 4 пары Cat.5e outdoor (305 м)</v>
      </c>
      <c r="B508" s="169" t="s">
        <v>82</v>
      </c>
      <c r="C508" s="320"/>
      <c r="D508" s="390">
        <f>Лист1!C219*$A$286</f>
        <v>0.73799999999999999</v>
      </c>
      <c r="E508" s="448">
        <f>'таланты+инициативы0,262'!E449</f>
        <v>8400</v>
      </c>
      <c r="F508" s="245">
        <f t="shared" si="17"/>
        <v>6199.2</v>
      </c>
    </row>
    <row r="509" spans="1:6" ht="16.5" x14ac:dyDescent="0.25">
      <c r="A509" s="216" t="str">
        <f>'таланты+инициативы0,262'!A450</f>
        <v>кабель витая пара</v>
      </c>
      <c r="B509" s="169" t="s">
        <v>82</v>
      </c>
      <c r="C509" s="320"/>
      <c r="D509" s="390">
        <f>Лист1!C220*$A$286</f>
        <v>0.73799999999999999</v>
      </c>
      <c r="E509" s="448">
        <f>'таланты+инициативы0,262'!E450</f>
        <v>8400</v>
      </c>
      <c r="F509" s="245">
        <f t="shared" si="17"/>
        <v>6199.2</v>
      </c>
    </row>
    <row r="510" spans="1:6" ht="16.5" x14ac:dyDescent="0.25">
      <c r="A510" s="216" t="str">
        <f>'таланты+инициативы0,262'!A451</f>
        <v>Коннектор</v>
      </c>
      <c r="B510" s="169" t="s">
        <v>82</v>
      </c>
      <c r="C510" s="320"/>
      <c r="D510" s="390">
        <f>Лист1!C221*$A$286</f>
        <v>0.36899999999999999</v>
      </c>
      <c r="E510" s="448">
        <f>'таланты+инициативы0,262'!E451</f>
        <v>754</v>
      </c>
      <c r="F510" s="245">
        <f t="shared" si="17"/>
        <v>278.226</v>
      </c>
    </row>
    <row r="511" spans="1:6" ht="16.5" x14ac:dyDescent="0.25">
      <c r="A511" s="216" t="str">
        <f>'таланты+инициативы0,262'!A452</f>
        <v xml:space="preserve">средства индивидуальной защиты и дезинфекционные средства </v>
      </c>
      <c r="B511" s="169" t="s">
        <v>82</v>
      </c>
      <c r="C511" s="320"/>
      <c r="D511" s="476">
        <v>0.36899999999999999</v>
      </c>
      <c r="E511" s="509">
        <f>'таланты+инициативы0,262'!E452</f>
        <v>19000</v>
      </c>
      <c r="F511" s="245">
        <f>D511*E511+378</f>
        <v>7389</v>
      </c>
    </row>
    <row r="512" spans="1:6" ht="16.5" x14ac:dyDescent="0.25">
      <c r="A512" s="216" t="str">
        <f>'таланты+инициативы0,262'!A453</f>
        <v>Гамак</v>
      </c>
      <c r="B512" s="169" t="s">
        <v>82</v>
      </c>
      <c r="C512" s="320"/>
      <c r="D512" s="507">
        <f>6*0.36</f>
        <v>2.16</v>
      </c>
      <c r="E512" s="509">
        <f>'таланты+инициативы0,262'!E453</f>
        <v>7000</v>
      </c>
      <c r="F512" s="245">
        <f t="shared" si="17"/>
        <v>15120.000000000002</v>
      </c>
    </row>
    <row r="513" spans="1:6" ht="16.5" x14ac:dyDescent="0.25">
      <c r="A513" s="216" t="str">
        <f>'таланты+инициативы0,262'!A454</f>
        <v>Будо-Мат EVA «Ласточкин Хвост» м2, толщина 2 см</v>
      </c>
      <c r="B513" s="169" t="s">
        <v>82</v>
      </c>
      <c r="C513" s="320"/>
      <c r="D513" s="507">
        <f>40*0.369</f>
        <v>14.76</v>
      </c>
      <c r="E513" s="509">
        <f>'таланты+инициативы0,262'!E454</f>
        <v>870</v>
      </c>
      <c r="F513" s="245">
        <f t="shared" si="17"/>
        <v>12841.199999999999</v>
      </c>
    </row>
    <row r="514" spans="1:6" ht="16.5" x14ac:dyDescent="0.25">
      <c r="A514" s="216" t="str">
        <f>'таланты+инициативы0,262'!A455</f>
        <v>Карабины металл</v>
      </c>
      <c r="B514" s="169" t="s">
        <v>82</v>
      </c>
      <c r="C514" s="320"/>
      <c r="D514" s="507">
        <f>32*0.369</f>
        <v>11.808</v>
      </c>
      <c r="E514" s="509">
        <f>'таланты+инициативы0,262'!E455</f>
        <v>150</v>
      </c>
      <c r="F514" s="245">
        <f t="shared" si="17"/>
        <v>1771.2</v>
      </c>
    </row>
    <row r="515" spans="1:6" ht="16.5" x14ac:dyDescent="0.25">
      <c r="A515" s="216" t="str">
        <f>'таланты+инициативы0,262'!A456</f>
        <v>Краска ВДК 4 л</v>
      </c>
      <c r="B515" s="169" t="s">
        <v>82</v>
      </c>
      <c r="C515" s="320"/>
      <c r="D515" s="507">
        <f>6*0.369</f>
        <v>2.214</v>
      </c>
      <c r="E515" s="509">
        <f>'таланты+инициативы0,262'!E456</f>
        <v>2000</v>
      </c>
      <c r="F515" s="245">
        <f t="shared" si="17"/>
        <v>4428</v>
      </c>
    </row>
    <row r="516" spans="1:6" ht="16.5" x14ac:dyDescent="0.25">
      <c r="A516" s="216" t="str">
        <f>'таланты+инициативы0,262'!A457</f>
        <v>Коллер для краски ВДК</v>
      </c>
      <c r="B516" s="169" t="s">
        <v>82</v>
      </c>
      <c r="C516" s="320"/>
      <c r="D516" s="507">
        <f>9*0.369</f>
        <v>3.3209999999999997</v>
      </c>
      <c r="E516" s="509">
        <f>'таланты+инициативы0,262'!E457</f>
        <v>100</v>
      </c>
      <c r="F516" s="245">
        <f t="shared" si="17"/>
        <v>332.09999999999997</v>
      </c>
    </row>
    <row r="517" spans="1:6" hidden="1" x14ac:dyDescent="0.25">
      <c r="A517" s="216">
        <f>'таланты+инициативы0,262'!A458</f>
        <v>0</v>
      </c>
      <c r="B517" s="169"/>
      <c r="C517" s="320"/>
      <c r="D517" s="169"/>
      <c r="E517" s="289"/>
      <c r="F517" s="245"/>
    </row>
    <row r="518" spans="1:6" hidden="1" x14ac:dyDescent="0.25">
      <c r="A518" s="216"/>
      <c r="B518" s="169"/>
      <c r="C518" s="320"/>
      <c r="D518" s="169"/>
      <c r="E518" s="289"/>
      <c r="F518" s="245"/>
    </row>
    <row r="519" spans="1:6" hidden="1" x14ac:dyDescent="0.25">
      <c r="A519" s="216"/>
      <c r="B519" s="169"/>
      <c r="C519" s="320"/>
      <c r="D519" s="169"/>
      <c r="E519" s="289"/>
      <c r="F519" s="245"/>
    </row>
    <row r="520" spans="1:6" hidden="1" x14ac:dyDescent="0.25">
      <c r="A520" s="216"/>
      <c r="B520" s="169"/>
      <c r="C520" s="320"/>
      <c r="D520" s="169"/>
      <c r="E520" s="289"/>
      <c r="F520" s="245"/>
    </row>
    <row r="521" spans="1:6" hidden="1" x14ac:dyDescent="0.25">
      <c r="A521" s="216"/>
      <c r="B521" s="169"/>
      <c r="C521" s="320"/>
      <c r="D521" s="169"/>
      <c r="E521" s="289"/>
      <c r="F521" s="245"/>
    </row>
    <row r="522" spans="1:6" hidden="1" x14ac:dyDescent="0.25">
      <c r="A522" s="216"/>
      <c r="B522" s="169"/>
      <c r="C522" s="320"/>
      <c r="D522" s="169"/>
      <c r="E522" s="289"/>
      <c r="F522" s="245"/>
    </row>
    <row r="523" spans="1:6" hidden="1" x14ac:dyDescent="0.25">
      <c r="A523" s="216"/>
      <c r="B523" s="169"/>
      <c r="C523" s="320"/>
      <c r="D523" s="169"/>
      <c r="E523" s="289"/>
      <c r="F523" s="245"/>
    </row>
    <row r="524" spans="1:6" hidden="1" x14ac:dyDescent="0.25">
      <c r="A524" s="216"/>
      <c r="B524" s="169"/>
      <c r="C524" s="318"/>
      <c r="D524" s="169"/>
      <c r="E524" s="289"/>
      <c r="F524" s="245"/>
    </row>
    <row r="525" spans="1:6" hidden="1" x14ac:dyDescent="0.25">
      <c r="A525" s="216"/>
      <c r="B525" s="169"/>
      <c r="C525" s="318"/>
      <c r="D525" s="169"/>
      <c r="E525" s="289"/>
      <c r="F525" s="245"/>
    </row>
    <row r="526" spans="1:6" hidden="1" x14ac:dyDescent="0.25">
      <c r="A526" s="216"/>
      <c r="B526" s="169"/>
      <c r="C526" s="318"/>
      <c r="D526" s="169"/>
      <c r="E526" s="289"/>
      <c r="F526" s="245"/>
    </row>
    <row r="527" spans="1:6" hidden="1" x14ac:dyDescent="0.25">
      <c r="A527" s="216"/>
      <c r="B527" s="169"/>
      <c r="C527" s="318"/>
      <c r="D527" s="169"/>
      <c r="E527" s="289"/>
      <c r="F527" s="245"/>
    </row>
    <row r="528" spans="1:6" hidden="1" x14ac:dyDescent="0.25">
      <c r="A528" s="216"/>
      <c r="B528" s="169"/>
      <c r="C528" s="318"/>
      <c r="D528" s="169"/>
      <c r="E528" s="289"/>
      <c r="F528" s="245"/>
    </row>
    <row r="529" spans="1:6" hidden="1" x14ac:dyDescent="0.25">
      <c r="A529" s="216"/>
      <c r="B529" s="169"/>
      <c r="C529" s="318"/>
      <c r="D529" s="169"/>
      <c r="E529" s="289"/>
      <c r="F529" s="245"/>
    </row>
    <row r="530" spans="1:6" hidden="1" x14ac:dyDescent="0.25">
      <c r="A530" s="216"/>
      <c r="B530" s="169"/>
      <c r="C530" s="318"/>
      <c r="D530" s="169"/>
      <c r="E530" s="289"/>
      <c r="F530" s="245"/>
    </row>
    <row r="531" spans="1:6" hidden="1" x14ac:dyDescent="0.25">
      <c r="A531" s="216"/>
      <c r="B531" s="169"/>
      <c r="C531" s="318"/>
      <c r="D531" s="169"/>
      <c r="E531" s="289"/>
      <c r="F531" s="245"/>
    </row>
    <row r="532" spans="1:6" hidden="1" x14ac:dyDescent="0.25">
      <c r="A532" s="216"/>
      <c r="B532" s="169"/>
      <c r="C532" s="318"/>
      <c r="D532" s="169"/>
      <c r="E532" s="289"/>
      <c r="F532" s="245"/>
    </row>
    <row r="533" spans="1:6" hidden="1" x14ac:dyDescent="0.25">
      <c r="A533" s="216"/>
      <c r="B533" s="169"/>
      <c r="C533" s="318"/>
      <c r="D533" s="169"/>
      <c r="E533" s="289"/>
      <c r="F533" s="245"/>
    </row>
    <row r="534" spans="1:6" hidden="1" x14ac:dyDescent="0.25">
      <c r="A534" s="216"/>
      <c r="B534" s="169"/>
      <c r="C534" s="318"/>
      <c r="D534" s="169"/>
      <c r="E534" s="289"/>
      <c r="F534" s="245"/>
    </row>
    <row r="535" spans="1:6" hidden="1" x14ac:dyDescent="0.25">
      <c r="A535" s="216"/>
      <c r="B535" s="169"/>
      <c r="C535" s="318"/>
      <c r="D535" s="169"/>
      <c r="E535" s="289"/>
      <c r="F535" s="245"/>
    </row>
    <row r="536" spans="1:6" hidden="1" x14ac:dyDescent="0.25">
      <c r="A536" s="216"/>
      <c r="B536" s="169"/>
      <c r="C536" s="318"/>
      <c r="D536" s="169"/>
      <c r="E536" s="289"/>
      <c r="F536" s="245"/>
    </row>
    <row r="537" spans="1:6" ht="18.75" x14ac:dyDescent="0.25">
      <c r="A537" s="671" t="s">
        <v>31</v>
      </c>
      <c r="B537" s="705"/>
      <c r="C537" s="705"/>
      <c r="D537" s="705"/>
      <c r="E537" s="672"/>
      <c r="F537" s="275">
        <f>SUM(F290:F536)</f>
        <v>247857.29999999993</v>
      </c>
    </row>
    <row r="538" spans="1:6" x14ac:dyDescent="0.25">
      <c r="E538" s="168"/>
    </row>
  </sheetData>
  <mergeCells count="143"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A221:B221"/>
    <mergeCell ref="A224:B224"/>
    <mergeCell ref="A537:E537"/>
    <mergeCell ref="B3:G3"/>
    <mergeCell ref="D53:D54"/>
    <mergeCell ref="E53:E54"/>
    <mergeCell ref="A51:F51"/>
    <mergeCell ref="C53:C54"/>
    <mergeCell ref="F53:F54"/>
    <mergeCell ref="A285:F285"/>
    <mergeCell ref="A286:F286"/>
    <mergeCell ref="A287:A288"/>
    <mergeCell ref="B287:B288"/>
    <mergeCell ref="D287:D288"/>
    <mergeCell ref="E287:E288"/>
    <mergeCell ref="F287:F288"/>
    <mergeCell ref="A243:F243"/>
    <mergeCell ref="A220:B220"/>
    <mergeCell ref="A35:H35"/>
    <mergeCell ref="A36:A38"/>
    <mergeCell ref="A222:B222"/>
    <mergeCell ref="A223:B223"/>
    <mergeCell ref="A284:E284"/>
    <mergeCell ref="A246:A247"/>
    <mergeCell ref="B246:B247"/>
    <mergeCell ref="D246:D247"/>
    <mergeCell ref="E246:E247"/>
    <mergeCell ref="F246:F247"/>
    <mergeCell ref="A235:F235"/>
    <mergeCell ref="A236:F236"/>
    <mergeCell ref="A238:A239"/>
    <mergeCell ref="B238:B239"/>
    <mergeCell ref="D238:D239"/>
    <mergeCell ref="E238:E239"/>
    <mergeCell ref="F238:F239"/>
    <mergeCell ref="A244:F244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G227:G228"/>
    <mergeCell ref="G238:G239"/>
    <mergeCell ref="A4:E4"/>
    <mergeCell ref="A5:E5"/>
    <mergeCell ref="A6:E6"/>
    <mergeCell ref="G22:G23"/>
    <mergeCell ref="A225:F225"/>
    <mergeCell ref="A227:A228"/>
    <mergeCell ref="B227:B228"/>
    <mergeCell ref="D227:D228"/>
    <mergeCell ref="E227:E228"/>
    <mergeCell ref="F227:F228"/>
    <mergeCell ref="A205:E205"/>
    <mergeCell ref="A215:F215"/>
    <mergeCell ref="D218:D219"/>
    <mergeCell ref="B36:C38"/>
    <mergeCell ref="D36:E36"/>
    <mergeCell ref="D37:D38"/>
    <mergeCell ref="B176:C176"/>
    <mergeCell ref="A193:F193"/>
    <mergeCell ref="A195:A196"/>
    <mergeCell ref="B195:B196"/>
    <mergeCell ref="D195:D196"/>
    <mergeCell ref="E195:E196"/>
    <mergeCell ref="H183:H184"/>
    <mergeCell ref="G183:G184"/>
    <mergeCell ref="F183:F184"/>
    <mergeCell ref="E183:E184"/>
    <mergeCell ref="D183:D184"/>
    <mergeCell ref="D182:H182"/>
    <mergeCell ref="A181:H181"/>
    <mergeCell ref="G218:G219"/>
    <mergeCell ref="A207:F207"/>
    <mergeCell ref="B185:C185"/>
    <mergeCell ref="A218:B219"/>
    <mergeCell ref="B182:C184"/>
    <mergeCell ref="A182:A184"/>
    <mergeCell ref="F195:F196"/>
    <mergeCell ref="A172:H172"/>
    <mergeCell ref="A173:A175"/>
    <mergeCell ref="B173:C175"/>
    <mergeCell ref="D173:F173"/>
    <mergeCell ref="D174:D175"/>
    <mergeCell ref="A44:B44"/>
    <mergeCell ref="A45:B45"/>
    <mergeCell ref="A46:B46"/>
    <mergeCell ref="A47:B47"/>
    <mergeCell ref="A48:B48"/>
    <mergeCell ref="A50:F50"/>
    <mergeCell ref="B161:B163"/>
    <mergeCell ref="D161:D163"/>
    <mergeCell ref="E161:F161"/>
    <mergeCell ref="G161:G163"/>
    <mergeCell ref="A159:F159"/>
    <mergeCell ref="E174:E175"/>
    <mergeCell ref="F174:F175"/>
    <mergeCell ref="A170:F170"/>
    <mergeCell ref="B53:B54"/>
    <mergeCell ref="I161:I163"/>
    <mergeCell ref="B164:B165"/>
    <mergeCell ref="D164:D165"/>
    <mergeCell ref="E164:E165"/>
    <mergeCell ref="F164:F165"/>
    <mergeCell ref="G164:G165"/>
    <mergeCell ref="I164:I165"/>
    <mergeCell ref="A164:A165"/>
    <mergeCell ref="F37:F38"/>
    <mergeCell ref="B39:C39"/>
    <mergeCell ref="B40:C40"/>
    <mergeCell ref="B41:C41"/>
    <mergeCell ref="E37:E38"/>
  </mergeCells>
  <printOptions horizontalCentered="1" verticalCentered="1"/>
  <pageMargins left="0.51181102362204722" right="0.31496062992125984" top="0.55118110236220474" bottom="0.55118110236220474" header="0" footer="0"/>
  <pageSetup paperSize="9" scale="40" fitToHeight="4" orientation="portrait" r:id="rId1"/>
  <rowBreaks count="2" manualBreakCount="2">
    <brk id="158" max="16383" man="1"/>
    <brk id="23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4"/>
  <sheetViews>
    <sheetView view="pageBreakPreview" topLeftCell="A364" workbookViewId="0">
      <selection sqref="A1:E384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41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07.12.2021 № 80-ОС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41"/>
    </row>
    <row r="3" spans="1:5" x14ac:dyDescent="0.25">
      <c r="A3" s="642" t="s">
        <v>124</v>
      </c>
      <c r="B3" s="642"/>
      <c r="C3" s="642"/>
      <c r="D3" s="642"/>
      <c r="E3" s="642"/>
    </row>
    <row r="4" spans="1:5" ht="12.6" customHeight="1" x14ac:dyDescent="0.25">
      <c r="A4" s="643" t="s">
        <v>148</v>
      </c>
      <c r="B4" s="643"/>
      <c r="C4" s="643"/>
      <c r="D4" s="643"/>
      <c r="E4" s="643"/>
    </row>
    <row r="5" spans="1:5" ht="45" x14ac:dyDescent="0.25">
      <c r="A5" s="131" t="s">
        <v>125</v>
      </c>
      <c r="B5" s="66" t="s">
        <v>126</v>
      </c>
      <c r="C5" s="131" t="s">
        <v>127</v>
      </c>
      <c r="D5" s="131" t="s">
        <v>128</v>
      </c>
      <c r="E5" s="131" t="s">
        <v>129</v>
      </c>
    </row>
    <row r="6" spans="1:5" x14ac:dyDescent="0.25">
      <c r="A6" s="132">
        <v>1</v>
      </c>
      <c r="B6" s="132">
        <v>2</v>
      </c>
      <c r="C6" s="132">
        <v>3</v>
      </c>
      <c r="D6" s="132">
        <v>4</v>
      </c>
      <c r="E6" s="132">
        <v>5</v>
      </c>
    </row>
    <row r="7" spans="1:5" ht="19.5" customHeight="1" x14ac:dyDescent="0.25">
      <c r="A7" s="713" t="s">
        <v>123</v>
      </c>
      <c r="B7" s="714" t="s">
        <v>152</v>
      </c>
      <c r="C7" s="644" t="s">
        <v>130</v>
      </c>
      <c r="D7" s="645"/>
      <c r="E7" s="646"/>
    </row>
    <row r="8" spans="1:5" ht="14.45" customHeight="1" x14ac:dyDescent="0.25">
      <c r="A8" s="713"/>
      <c r="B8" s="714"/>
      <c r="C8" s="647" t="s">
        <v>131</v>
      </c>
      <c r="D8" s="648"/>
      <c r="E8" s="649"/>
    </row>
    <row r="9" spans="1:5" ht="12" customHeight="1" x14ac:dyDescent="0.25">
      <c r="A9" s="713"/>
      <c r="B9" s="714"/>
      <c r="C9" s="109" t="s">
        <v>138</v>
      </c>
      <c r="D9" s="133" t="s">
        <v>132</v>
      </c>
      <c r="E9" s="232">
        <f>'таланты+инициативы0,262'!D25</f>
        <v>1.4672000000000001</v>
      </c>
    </row>
    <row r="10" spans="1:5" ht="12" customHeight="1" x14ac:dyDescent="0.25">
      <c r="A10" s="713"/>
      <c r="B10" s="714"/>
      <c r="C10" s="109" t="s">
        <v>91</v>
      </c>
      <c r="D10" s="134" t="s">
        <v>132</v>
      </c>
      <c r="E10" s="232">
        <f>'таланты+инициативы0,262'!D24</f>
        <v>0.26200000000000001</v>
      </c>
    </row>
    <row r="11" spans="1:5" ht="12" customHeight="1" x14ac:dyDescent="0.25">
      <c r="A11" s="713"/>
      <c r="B11" s="714"/>
      <c r="C11" s="663" t="s">
        <v>142</v>
      </c>
      <c r="D11" s="664"/>
      <c r="E11" s="665"/>
    </row>
    <row r="12" spans="1:5" ht="15.75" customHeight="1" x14ac:dyDescent="0.25">
      <c r="A12" s="713"/>
      <c r="B12" s="714"/>
      <c r="C12" s="120" t="s">
        <v>289</v>
      </c>
      <c r="D12" s="101" t="s">
        <v>39</v>
      </c>
      <c r="E12" s="231">
        <f>'таланты+инициативы0,262'!E48</f>
        <v>0.26200000000000001</v>
      </c>
    </row>
    <row r="13" spans="1:5" ht="12" customHeight="1" x14ac:dyDescent="0.25">
      <c r="A13" s="713"/>
      <c r="B13" s="714"/>
      <c r="C13" s="120" t="s">
        <v>290</v>
      </c>
      <c r="D13" s="101" t="s">
        <v>39</v>
      </c>
      <c r="E13" s="231">
        <f>'таланты+инициативы0,262'!E49</f>
        <v>0.26200000000000001</v>
      </c>
    </row>
    <row r="14" spans="1:5" ht="13.5" customHeight="1" x14ac:dyDescent="0.25">
      <c r="A14" s="713"/>
      <c r="B14" s="714"/>
      <c r="C14" s="120" t="s">
        <v>291</v>
      </c>
      <c r="D14" s="101" t="s">
        <v>39</v>
      </c>
      <c r="E14" s="231">
        <f>'таланты+инициативы0,262'!E50</f>
        <v>0.26200000000000001</v>
      </c>
    </row>
    <row r="15" spans="1:5" ht="22.9" customHeight="1" x14ac:dyDescent="0.25">
      <c r="A15" s="713"/>
      <c r="B15" s="714"/>
      <c r="C15" s="666" t="s">
        <v>143</v>
      </c>
      <c r="D15" s="667"/>
      <c r="E15" s="668"/>
    </row>
    <row r="16" spans="1:5" ht="18.75" customHeight="1" x14ac:dyDescent="0.25">
      <c r="A16" s="713"/>
      <c r="B16" s="714"/>
      <c r="C16" s="129" t="str">
        <f>'таланты+инициативы0,262'!A113</f>
        <v>гуашь 500 мл черная</v>
      </c>
      <c r="D16" s="346" t="str">
        <f>'таланты+инициативы0,262'!D59</f>
        <v>ед</v>
      </c>
      <c r="E16" s="91">
        <f>'таланты+инициативы0,262'!E113</f>
        <v>2</v>
      </c>
    </row>
    <row r="17" spans="1:5" ht="12" customHeight="1" x14ac:dyDescent="0.25">
      <c r="A17" s="713"/>
      <c r="B17" s="714"/>
      <c r="C17" s="129" t="str">
        <f>'таланты+инициативы0,262'!A114</f>
        <v>гуашь Гамма "Классическая" алая</v>
      </c>
      <c r="D17" s="346" t="str">
        <f>'таланты+инициативы0,262'!D60</f>
        <v>сут</v>
      </c>
      <c r="E17" s="91">
        <f>'таланты+инициативы0,262'!E114</f>
        <v>5</v>
      </c>
    </row>
    <row r="18" spans="1:5" ht="12" customHeight="1" x14ac:dyDescent="0.25">
      <c r="A18" s="713"/>
      <c r="B18" s="714"/>
      <c r="C18" s="129" t="str">
        <f>'таланты+инициативы0,262'!A115</f>
        <v>гуашь Гамма "Классическая" темно желтая</v>
      </c>
      <c r="D18" s="346" t="str">
        <f>'таланты+инициативы0,262'!D61</f>
        <v>сут</v>
      </c>
      <c r="E18" s="91">
        <f>'таланты+инициативы0,262'!E115</f>
        <v>5</v>
      </c>
    </row>
    <row r="19" spans="1:5" ht="12" customHeight="1" x14ac:dyDescent="0.25">
      <c r="A19" s="713"/>
      <c r="B19" s="714"/>
      <c r="C19" s="129" t="str">
        <f>'таланты+инициативы0,262'!A117</f>
        <v>гуашь Гамма "Классическая" изумруд</v>
      </c>
      <c r="D19" s="346" t="str">
        <f>'таланты+инициативы0,262'!D63</f>
        <v>ед</v>
      </c>
      <c r="E19" s="91">
        <f>'таланты+инициативы0,262'!E117</f>
        <v>5</v>
      </c>
    </row>
    <row r="20" spans="1:5" ht="12" customHeight="1" x14ac:dyDescent="0.25">
      <c r="A20" s="713"/>
      <c r="B20" s="714"/>
      <c r="C20" s="129" t="str">
        <f>'таланты+инициативы0,262'!A118</f>
        <v>гуашь Гамма "Классическая" рубин</v>
      </c>
      <c r="D20" s="346" t="str">
        <f>'таланты+инициативы0,262'!D64</f>
        <v>сут</v>
      </c>
      <c r="E20" s="91">
        <f>'таланты+инициативы0,262'!E118</f>
        <v>5</v>
      </c>
    </row>
    <row r="21" spans="1:5" ht="12" customHeight="1" x14ac:dyDescent="0.25">
      <c r="A21" s="713"/>
      <c r="B21" s="714"/>
      <c r="C21" s="129" t="str">
        <f>'таланты+инициативы0,262'!A119</f>
        <v>гуашь Гамма "Классическая" ультрамарин</v>
      </c>
      <c r="D21" s="346" t="str">
        <f>'таланты+инициативы0,262'!D65</f>
        <v>сут</v>
      </c>
      <c r="E21" s="91">
        <f>'таланты+инициативы0,262'!E119</f>
        <v>5</v>
      </c>
    </row>
    <row r="22" spans="1:5" ht="12" customHeight="1" x14ac:dyDescent="0.25">
      <c r="A22" s="713"/>
      <c r="B22" s="714"/>
      <c r="C22" s="129" t="str">
        <f>'таланты+инициативы0,262'!A121</f>
        <v>Наградная продукция к мероприям</v>
      </c>
      <c r="D22" s="346" t="str">
        <f>'таланты+инициативы0,262'!D67</f>
        <v>ед</v>
      </c>
      <c r="E22" s="91">
        <f>'таланты+инициативы0,262'!E121</f>
        <v>0</v>
      </c>
    </row>
    <row r="23" spans="1:5" ht="12" customHeight="1" x14ac:dyDescent="0.25">
      <c r="A23" s="713"/>
      <c r="B23" s="714"/>
      <c r="C23" s="129" t="str">
        <f>'таланты+инициативы0,262'!A122</f>
        <v>лента для бейджа с креплением</v>
      </c>
      <c r="D23" s="346" t="str">
        <f>'таланты+инициативы0,262'!D68</f>
        <v>сут</v>
      </c>
      <c r="E23" s="91">
        <f>'таланты+инициативы0,262'!E122</f>
        <v>182</v>
      </c>
    </row>
    <row r="24" spans="1:5" ht="12" customHeight="1" x14ac:dyDescent="0.25">
      <c r="A24" s="713"/>
      <c r="B24" s="714"/>
      <c r="C24" s="129" t="str">
        <f>'таланты+инициативы0,262'!A123</f>
        <v>баннер РДШ 3*4</v>
      </c>
      <c r="D24" s="346" t="str">
        <f>'таланты+инициативы0,262'!D69</f>
        <v>сут</v>
      </c>
      <c r="E24" s="91">
        <f>'таланты+инициативы0,262'!E123</f>
        <v>1</v>
      </c>
    </row>
    <row r="25" spans="1:5" ht="12" customHeight="1" x14ac:dyDescent="0.25">
      <c r="A25" s="713"/>
      <c r="B25" s="714"/>
      <c r="C25" s="129" t="e">
        <f>'таланты+инициативы0,262'!#REF!</f>
        <v>#REF!</v>
      </c>
      <c r="D25" s="346"/>
      <c r="E25" s="91" t="e">
        <f>'таланты+инициативы0,262'!#REF!</f>
        <v>#REF!</v>
      </c>
    </row>
    <row r="26" spans="1:5" ht="12" customHeight="1" x14ac:dyDescent="0.25">
      <c r="A26" s="713"/>
      <c r="B26" s="714"/>
      <c r="C26" s="129" t="e">
        <f>'таланты+инициативы0,262'!#REF!</f>
        <v>#REF!</v>
      </c>
      <c r="D26" s="346" t="e">
        <f>'таланты+инициативы0,262'!#REF!</f>
        <v>#REF!</v>
      </c>
      <c r="E26" s="91" t="e">
        <f>'таланты+инициативы0,262'!#REF!</f>
        <v>#REF!</v>
      </c>
    </row>
    <row r="27" spans="1:5" ht="12" customHeight="1" x14ac:dyDescent="0.25">
      <c r="A27" s="713"/>
      <c r="B27" s="714"/>
      <c r="C27" s="129" t="e">
        <f>'таланты+инициативы0,262'!#REF!</f>
        <v>#REF!</v>
      </c>
      <c r="D27" s="346" t="e">
        <f>'таланты+инициативы0,262'!#REF!</f>
        <v>#REF!</v>
      </c>
      <c r="E27" s="91" t="e">
        <f>'таланты+инициативы0,262'!#REF!</f>
        <v>#REF!</v>
      </c>
    </row>
    <row r="28" spans="1:5" ht="12" customHeight="1" x14ac:dyDescent="0.25">
      <c r="A28" s="713"/>
      <c r="B28" s="714"/>
      <c r="C28" s="129" t="e">
        <f>'таланты+инициативы0,262'!#REF!</f>
        <v>#REF!</v>
      </c>
      <c r="D28" s="346" t="e">
        <f>'таланты+инициативы0,262'!#REF!</f>
        <v>#REF!</v>
      </c>
      <c r="E28" s="91" t="e">
        <f>'таланты+инициативы0,262'!#REF!</f>
        <v>#REF!</v>
      </c>
    </row>
    <row r="29" spans="1:5" ht="12" hidden="1" customHeight="1" x14ac:dyDescent="0.25">
      <c r="A29" s="713"/>
      <c r="B29" s="714"/>
      <c r="C29" s="129" t="e">
        <f>'таланты+инициативы0,262'!#REF!</f>
        <v>#REF!</v>
      </c>
      <c r="D29" s="95" t="e">
        <f>'таланты+инициативы0,262'!#REF!</f>
        <v>#REF!</v>
      </c>
      <c r="E29" s="99" t="e">
        <f>'таланты+инициативы0,262'!#REF!</f>
        <v>#REF!</v>
      </c>
    </row>
    <row r="30" spans="1:5" ht="12" hidden="1" customHeight="1" x14ac:dyDescent="0.25">
      <c r="A30" s="713"/>
      <c r="B30" s="714"/>
      <c r="C30" s="129" t="e">
        <f>'таланты+инициативы0,262'!#REF!</f>
        <v>#REF!</v>
      </c>
      <c r="D30" s="95" t="e">
        <f>'таланты+инициативы0,262'!#REF!</f>
        <v>#REF!</v>
      </c>
      <c r="E30" s="99" t="e">
        <f>'таланты+инициативы0,262'!#REF!</f>
        <v>#REF!</v>
      </c>
    </row>
    <row r="31" spans="1:5" ht="12" hidden="1" customHeight="1" x14ac:dyDescent="0.25">
      <c r="A31" s="713"/>
      <c r="B31" s="714"/>
      <c r="C31" s="129" t="e">
        <f>'таланты+инициативы0,262'!#REF!</f>
        <v>#REF!</v>
      </c>
      <c r="D31" s="95" t="e">
        <f>'таланты+инициативы0,262'!#REF!</f>
        <v>#REF!</v>
      </c>
      <c r="E31" s="99" t="e">
        <f>'таланты+инициативы0,262'!#REF!</f>
        <v>#REF!</v>
      </c>
    </row>
    <row r="32" spans="1:5" ht="12" hidden="1" customHeight="1" x14ac:dyDescent="0.25">
      <c r="A32" s="713"/>
      <c r="B32" s="714"/>
      <c r="C32" s="129" t="e">
        <f>'таланты+инициативы0,262'!#REF!</f>
        <v>#REF!</v>
      </c>
      <c r="D32" s="95" t="e">
        <f>'таланты+инициативы0,262'!#REF!</f>
        <v>#REF!</v>
      </c>
      <c r="E32" s="99" t="e">
        <f>'таланты+инициативы0,262'!#REF!</f>
        <v>#REF!</v>
      </c>
    </row>
    <row r="33" spans="1:5" ht="12" hidden="1" customHeight="1" x14ac:dyDescent="0.25">
      <c r="A33" s="713"/>
      <c r="B33" s="714"/>
      <c r="C33" s="129" t="e">
        <f>'таланты+инициативы0,262'!#REF!</f>
        <v>#REF!</v>
      </c>
      <c r="D33" s="95" t="e">
        <f>'таланты+инициативы0,262'!#REF!</f>
        <v>#REF!</v>
      </c>
      <c r="E33" s="99" t="e">
        <f>'таланты+инициативы0,262'!#REF!</f>
        <v>#REF!</v>
      </c>
    </row>
    <row r="34" spans="1:5" ht="12" hidden="1" customHeight="1" x14ac:dyDescent="0.25">
      <c r="A34" s="713"/>
      <c r="B34" s="714"/>
      <c r="C34" s="129" t="e">
        <f>'таланты+инициативы0,262'!#REF!</f>
        <v>#REF!</v>
      </c>
      <c r="D34" s="95" t="e">
        <f>'таланты+инициативы0,262'!#REF!</f>
        <v>#REF!</v>
      </c>
      <c r="E34" s="99" t="e">
        <f>'таланты+инициативы0,262'!#REF!</f>
        <v>#REF!</v>
      </c>
    </row>
    <row r="35" spans="1:5" ht="12" hidden="1" customHeight="1" x14ac:dyDescent="0.25">
      <c r="A35" s="713"/>
      <c r="B35" s="714"/>
      <c r="C35" s="129" t="e">
        <f>'таланты+инициативы0,262'!#REF!</f>
        <v>#REF!</v>
      </c>
      <c r="D35" s="95" t="e">
        <f>'таланты+инициативы0,262'!#REF!</f>
        <v>#REF!</v>
      </c>
      <c r="E35" s="99" t="e">
        <f>'таланты+инициативы0,262'!#REF!</f>
        <v>#REF!</v>
      </c>
    </row>
    <row r="36" spans="1:5" ht="12" hidden="1" customHeight="1" x14ac:dyDescent="0.25">
      <c r="A36" s="713"/>
      <c r="B36" s="714"/>
      <c r="C36" s="129" t="e">
        <f>'таланты+инициативы0,262'!#REF!</f>
        <v>#REF!</v>
      </c>
      <c r="D36" s="95" t="e">
        <f>'таланты+инициативы0,262'!#REF!</f>
        <v>#REF!</v>
      </c>
      <c r="E36" s="99" t="e">
        <f>'таланты+инициативы0,262'!#REF!</f>
        <v>#REF!</v>
      </c>
    </row>
    <row r="37" spans="1:5" ht="12" hidden="1" customHeight="1" x14ac:dyDescent="0.25">
      <c r="A37" s="713"/>
      <c r="B37" s="714"/>
      <c r="C37" s="129" t="e">
        <f>'таланты+инициативы0,262'!#REF!</f>
        <v>#REF!</v>
      </c>
      <c r="D37" s="95" t="e">
        <f>'таланты+инициативы0,262'!#REF!</f>
        <v>#REF!</v>
      </c>
      <c r="E37" s="99" t="e">
        <f>'таланты+инициативы0,262'!#REF!</f>
        <v>#REF!</v>
      </c>
    </row>
    <row r="38" spans="1:5" ht="12" hidden="1" customHeight="1" x14ac:dyDescent="0.25">
      <c r="A38" s="713"/>
      <c r="B38" s="714"/>
      <c r="C38" s="129" t="e">
        <f>'таланты+инициативы0,262'!#REF!</f>
        <v>#REF!</v>
      </c>
      <c r="D38" s="95" t="e">
        <f>'таланты+инициативы0,262'!#REF!</f>
        <v>#REF!</v>
      </c>
      <c r="E38" s="99" t="e">
        <f>'таланты+инициативы0,262'!#REF!</f>
        <v>#REF!</v>
      </c>
    </row>
    <row r="39" spans="1:5" ht="12" hidden="1" customHeight="1" x14ac:dyDescent="0.25">
      <c r="A39" s="713"/>
      <c r="B39" s="714"/>
      <c r="C39" s="129" t="e">
        <f>'таланты+инициативы0,262'!#REF!</f>
        <v>#REF!</v>
      </c>
      <c r="D39" s="95" t="e">
        <f>'таланты+инициативы0,262'!#REF!</f>
        <v>#REF!</v>
      </c>
      <c r="E39" s="99" t="e">
        <f>'таланты+инициативы0,262'!#REF!</f>
        <v>#REF!</v>
      </c>
    </row>
    <row r="40" spans="1:5" ht="12" hidden="1" customHeight="1" x14ac:dyDescent="0.25">
      <c r="A40" s="713"/>
      <c r="B40" s="714"/>
      <c r="C40" s="129" t="e">
        <f>'таланты+инициативы0,262'!#REF!</f>
        <v>#REF!</v>
      </c>
      <c r="D40" s="95" t="e">
        <f>'таланты+инициативы0,262'!#REF!</f>
        <v>#REF!</v>
      </c>
      <c r="E40" s="99" t="e">
        <f>'таланты+инициативы0,262'!#REF!</f>
        <v>#REF!</v>
      </c>
    </row>
    <row r="41" spans="1:5" ht="12" hidden="1" customHeight="1" x14ac:dyDescent="0.25">
      <c r="A41" s="713"/>
      <c r="B41" s="714"/>
      <c r="C41" s="129" t="e">
        <f>'таланты+инициативы0,262'!#REF!</f>
        <v>#REF!</v>
      </c>
      <c r="D41" s="95" t="e">
        <f>'таланты+инициативы0,262'!#REF!</f>
        <v>#REF!</v>
      </c>
      <c r="E41" s="99" t="e">
        <f>'таланты+инициативы0,262'!#REF!</f>
        <v>#REF!</v>
      </c>
    </row>
    <row r="42" spans="1:5" ht="12" hidden="1" customHeight="1" x14ac:dyDescent="0.25">
      <c r="A42" s="713"/>
      <c r="B42" s="714"/>
      <c r="C42" s="129" t="e">
        <f>'таланты+инициативы0,262'!#REF!</f>
        <v>#REF!</v>
      </c>
      <c r="D42" s="95" t="e">
        <f>'таланты+инициативы0,262'!#REF!</f>
        <v>#REF!</v>
      </c>
      <c r="E42" s="99" t="e">
        <f>'таланты+инициативы0,262'!#REF!</f>
        <v>#REF!</v>
      </c>
    </row>
    <row r="43" spans="1:5" ht="12" hidden="1" customHeight="1" x14ac:dyDescent="0.25">
      <c r="A43" s="713"/>
      <c r="B43" s="714"/>
      <c r="C43" s="129" t="e">
        <f>'таланты+инициативы0,262'!#REF!</f>
        <v>#REF!</v>
      </c>
      <c r="D43" s="95" t="e">
        <f>'таланты+инициативы0,262'!#REF!</f>
        <v>#REF!</v>
      </c>
      <c r="E43" s="99" t="e">
        <f>'таланты+инициативы0,262'!#REF!</f>
        <v>#REF!</v>
      </c>
    </row>
    <row r="44" spans="1:5" ht="12" hidden="1" customHeight="1" x14ac:dyDescent="0.25">
      <c r="A44" s="713"/>
      <c r="B44" s="714"/>
      <c r="C44" s="129" t="e">
        <f>'таланты+инициативы0,262'!#REF!</f>
        <v>#REF!</v>
      </c>
      <c r="D44" s="95" t="e">
        <f>'таланты+инициативы0,262'!#REF!</f>
        <v>#REF!</v>
      </c>
      <c r="E44" s="99" t="e">
        <f>'таланты+инициативы0,262'!#REF!</f>
        <v>#REF!</v>
      </c>
    </row>
    <row r="45" spans="1:5" ht="12" hidden="1" customHeight="1" x14ac:dyDescent="0.25">
      <c r="A45" s="713"/>
      <c r="B45" s="714"/>
      <c r="C45" s="129" t="e">
        <f>'таланты+инициативы0,262'!#REF!</f>
        <v>#REF!</v>
      </c>
      <c r="D45" s="95" t="e">
        <f>'таланты+инициативы0,262'!#REF!</f>
        <v>#REF!</v>
      </c>
      <c r="E45" s="99" t="e">
        <f>'таланты+инициативы0,262'!#REF!</f>
        <v>#REF!</v>
      </c>
    </row>
    <row r="46" spans="1:5" ht="12" hidden="1" customHeight="1" x14ac:dyDescent="0.25">
      <c r="A46" s="713"/>
      <c r="B46" s="714"/>
      <c r="C46" s="129" t="e">
        <f>'таланты+инициативы0,262'!#REF!</f>
        <v>#REF!</v>
      </c>
      <c r="D46" s="95" t="e">
        <f>'таланты+инициативы0,262'!#REF!</f>
        <v>#REF!</v>
      </c>
      <c r="E46" s="99" t="e">
        <f>'таланты+инициативы0,262'!#REF!</f>
        <v>#REF!</v>
      </c>
    </row>
    <row r="47" spans="1:5" ht="12" hidden="1" customHeight="1" x14ac:dyDescent="0.25">
      <c r="A47" s="713"/>
      <c r="B47" s="714"/>
      <c r="C47" s="129" t="e">
        <f>'таланты+инициативы0,262'!#REF!</f>
        <v>#REF!</v>
      </c>
      <c r="D47" s="95" t="e">
        <f>'таланты+инициативы0,262'!#REF!</f>
        <v>#REF!</v>
      </c>
      <c r="E47" s="99" t="e">
        <f>'таланты+инициативы0,262'!#REF!</f>
        <v>#REF!</v>
      </c>
    </row>
    <row r="48" spans="1:5" ht="12" hidden="1" customHeight="1" x14ac:dyDescent="0.25">
      <c r="A48" s="713"/>
      <c r="B48" s="714"/>
      <c r="C48" s="129" t="e">
        <f>'таланты+инициативы0,262'!#REF!</f>
        <v>#REF!</v>
      </c>
      <c r="D48" s="95" t="e">
        <f>'таланты+инициативы0,262'!#REF!</f>
        <v>#REF!</v>
      </c>
      <c r="E48" s="99" t="e">
        <f>'таланты+инициативы0,262'!#REF!</f>
        <v>#REF!</v>
      </c>
    </row>
    <row r="49" spans="1:5" ht="12" hidden="1" customHeight="1" x14ac:dyDescent="0.25">
      <c r="A49" s="713"/>
      <c r="B49" s="714"/>
      <c r="C49" s="129" t="e">
        <f>'таланты+инициативы0,262'!#REF!</f>
        <v>#REF!</v>
      </c>
      <c r="D49" s="95" t="e">
        <f>'таланты+инициативы0,262'!#REF!</f>
        <v>#REF!</v>
      </c>
      <c r="E49" s="99" t="e">
        <f>'таланты+инициативы0,262'!#REF!</f>
        <v>#REF!</v>
      </c>
    </row>
    <row r="50" spans="1:5" ht="12" hidden="1" customHeight="1" x14ac:dyDescent="0.25">
      <c r="A50" s="713"/>
      <c r="B50" s="714"/>
      <c r="C50" s="129" t="e">
        <f>'таланты+инициативы0,262'!#REF!</f>
        <v>#REF!</v>
      </c>
      <c r="D50" s="95" t="e">
        <f>'таланты+инициативы0,262'!#REF!</f>
        <v>#REF!</v>
      </c>
      <c r="E50" s="99" t="e">
        <f>'таланты+инициативы0,262'!#REF!</f>
        <v>#REF!</v>
      </c>
    </row>
    <row r="51" spans="1:5" ht="12" hidden="1" customHeight="1" x14ac:dyDescent="0.25">
      <c r="A51" s="713"/>
      <c r="B51" s="714"/>
      <c r="C51" s="129" t="e">
        <f>'таланты+инициативы0,262'!#REF!</f>
        <v>#REF!</v>
      </c>
      <c r="D51" s="95" t="e">
        <f>'таланты+инициативы0,262'!#REF!</f>
        <v>#REF!</v>
      </c>
      <c r="E51" s="99" t="e">
        <f>'таланты+инициативы0,262'!#REF!</f>
        <v>#REF!</v>
      </c>
    </row>
    <row r="52" spans="1:5" ht="12" hidden="1" customHeight="1" x14ac:dyDescent="0.25">
      <c r="A52" s="713"/>
      <c r="B52" s="714"/>
      <c r="C52" s="129" t="e">
        <f>'таланты+инициативы0,262'!#REF!</f>
        <v>#REF!</v>
      </c>
      <c r="D52" s="95" t="e">
        <f>'таланты+инициативы0,262'!#REF!</f>
        <v>#REF!</v>
      </c>
      <c r="E52" s="99" t="e">
        <f>'таланты+инициативы0,262'!#REF!</f>
        <v>#REF!</v>
      </c>
    </row>
    <row r="53" spans="1:5" ht="12" hidden="1" customHeight="1" x14ac:dyDescent="0.25">
      <c r="A53" s="713"/>
      <c r="B53" s="714"/>
      <c r="C53" s="129" t="e">
        <f>'таланты+инициативы0,262'!#REF!</f>
        <v>#REF!</v>
      </c>
      <c r="D53" s="95" t="e">
        <f>'таланты+инициативы0,262'!#REF!</f>
        <v>#REF!</v>
      </c>
      <c r="E53" s="99" t="e">
        <f>'таланты+инициативы0,262'!#REF!</f>
        <v>#REF!</v>
      </c>
    </row>
    <row r="54" spans="1:5" ht="12" hidden="1" customHeight="1" x14ac:dyDescent="0.25">
      <c r="A54" s="713"/>
      <c r="B54" s="714"/>
      <c r="C54" s="129" t="e">
        <f>'таланты+инициативы0,262'!#REF!</f>
        <v>#REF!</v>
      </c>
      <c r="D54" s="95" t="e">
        <f>'таланты+инициативы0,262'!#REF!</f>
        <v>#REF!</v>
      </c>
      <c r="E54" s="99" t="e">
        <f>'таланты+инициативы0,262'!#REF!</f>
        <v>#REF!</v>
      </c>
    </row>
    <row r="55" spans="1:5" ht="12" hidden="1" customHeight="1" x14ac:dyDescent="0.25">
      <c r="A55" s="713"/>
      <c r="B55" s="714"/>
      <c r="C55" s="129" t="e">
        <f>'таланты+инициативы0,262'!#REF!</f>
        <v>#REF!</v>
      </c>
      <c r="D55" s="95" t="e">
        <f>'таланты+инициативы0,262'!#REF!</f>
        <v>#REF!</v>
      </c>
      <c r="E55" s="99" t="e">
        <f>'таланты+инициативы0,262'!#REF!</f>
        <v>#REF!</v>
      </c>
    </row>
    <row r="56" spans="1:5" ht="12" hidden="1" customHeight="1" x14ac:dyDescent="0.25">
      <c r="A56" s="713"/>
      <c r="B56" s="714"/>
      <c r="C56" s="129" t="e">
        <f>'таланты+инициативы0,262'!#REF!</f>
        <v>#REF!</v>
      </c>
      <c r="D56" s="95" t="e">
        <f>'таланты+инициативы0,262'!#REF!</f>
        <v>#REF!</v>
      </c>
      <c r="E56" s="99" t="e">
        <f>'таланты+инициативы0,262'!#REF!</f>
        <v>#REF!</v>
      </c>
    </row>
    <row r="57" spans="1:5" ht="12" hidden="1" customHeight="1" x14ac:dyDescent="0.25">
      <c r="A57" s="713"/>
      <c r="B57" s="714"/>
      <c r="C57" s="129" t="e">
        <f>'таланты+инициативы0,262'!#REF!</f>
        <v>#REF!</v>
      </c>
      <c r="D57" s="95" t="e">
        <f>'таланты+инициативы0,262'!#REF!</f>
        <v>#REF!</v>
      </c>
      <c r="E57" s="99" t="e">
        <f>'таланты+инициативы0,262'!#REF!</f>
        <v>#REF!</v>
      </c>
    </row>
    <row r="58" spans="1:5" ht="12" hidden="1" customHeight="1" x14ac:dyDescent="0.25">
      <c r="A58" s="713"/>
      <c r="B58" s="714"/>
      <c r="C58" s="129" t="e">
        <f>'таланты+инициативы0,262'!#REF!</f>
        <v>#REF!</v>
      </c>
      <c r="D58" s="95" t="e">
        <f>'таланты+инициативы0,262'!#REF!</f>
        <v>#REF!</v>
      </c>
      <c r="E58" s="99" t="e">
        <f>'таланты+инициативы0,262'!#REF!</f>
        <v>#REF!</v>
      </c>
    </row>
    <row r="59" spans="1:5" ht="12" hidden="1" customHeight="1" x14ac:dyDescent="0.25">
      <c r="A59" s="713"/>
      <c r="B59" s="714"/>
      <c r="C59" s="129" t="e">
        <f>'таланты+инициативы0,262'!#REF!</f>
        <v>#REF!</v>
      </c>
      <c r="D59" s="95" t="e">
        <f>'таланты+инициативы0,262'!#REF!</f>
        <v>#REF!</v>
      </c>
      <c r="E59" s="99" t="e">
        <f>'таланты+инициативы0,262'!#REF!</f>
        <v>#REF!</v>
      </c>
    </row>
    <row r="60" spans="1:5" ht="12" hidden="1" customHeight="1" x14ac:dyDescent="0.25">
      <c r="A60" s="713"/>
      <c r="B60" s="714"/>
      <c r="C60" s="129" t="e">
        <f>'таланты+инициативы0,262'!#REF!</f>
        <v>#REF!</v>
      </c>
      <c r="D60" s="95" t="e">
        <f>'таланты+инициативы0,262'!#REF!</f>
        <v>#REF!</v>
      </c>
      <c r="E60" s="99" t="e">
        <f>'таланты+инициативы0,262'!#REF!</f>
        <v>#REF!</v>
      </c>
    </row>
    <row r="61" spans="1:5" ht="12" hidden="1" customHeight="1" x14ac:dyDescent="0.25">
      <c r="A61" s="713"/>
      <c r="B61" s="714"/>
      <c r="C61" s="129" t="e">
        <f>'таланты+инициативы0,262'!#REF!</f>
        <v>#REF!</v>
      </c>
      <c r="D61" s="95" t="e">
        <f>'таланты+инициативы0,262'!#REF!</f>
        <v>#REF!</v>
      </c>
      <c r="E61" s="99" t="e">
        <f>'таланты+инициативы0,262'!#REF!</f>
        <v>#REF!</v>
      </c>
    </row>
    <row r="62" spans="1:5" ht="12" hidden="1" customHeight="1" x14ac:dyDescent="0.25">
      <c r="A62" s="713"/>
      <c r="B62" s="714"/>
      <c r="C62" s="129" t="e">
        <f>'таланты+инициативы0,262'!#REF!</f>
        <v>#REF!</v>
      </c>
      <c r="D62" s="95" t="e">
        <f>'таланты+инициативы0,262'!#REF!</f>
        <v>#REF!</v>
      </c>
      <c r="E62" s="99" t="e">
        <f>'таланты+инициативы0,262'!#REF!</f>
        <v>#REF!</v>
      </c>
    </row>
    <row r="63" spans="1:5" ht="12" hidden="1" customHeight="1" x14ac:dyDescent="0.25">
      <c r="A63" s="713"/>
      <c r="B63" s="714"/>
      <c r="C63" s="129" t="e">
        <f>'таланты+инициативы0,262'!#REF!</f>
        <v>#REF!</v>
      </c>
      <c r="D63" s="95" t="e">
        <f>'таланты+инициативы0,262'!#REF!</f>
        <v>#REF!</v>
      </c>
      <c r="E63" s="99" t="e">
        <f>'таланты+инициативы0,262'!#REF!</f>
        <v>#REF!</v>
      </c>
    </row>
    <row r="64" spans="1:5" ht="12" hidden="1" customHeight="1" x14ac:dyDescent="0.25">
      <c r="A64" s="713"/>
      <c r="B64" s="714"/>
      <c r="C64" s="129" t="e">
        <f>'таланты+инициативы0,262'!#REF!</f>
        <v>#REF!</v>
      </c>
      <c r="D64" s="95" t="e">
        <f>'таланты+инициативы0,262'!#REF!</f>
        <v>#REF!</v>
      </c>
      <c r="E64" s="99" t="e">
        <f>'таланты+инициативы0,262'!#REF!</f>
        <v>#REF!</v>
      </c>
    </row>
    <row r="65" spans="1:5" ht="12" hidden="1" customHeight="1" x14ac:dyDescent="0.25">
      <c r="A65" s="713"/>
      <c r="B65" s="714"/>
      <c r="C65" s="129" t="e">
        <f>'таланты+инициативы0,262'!#REF!</f>
        <v>#REF!</v>
      </c>
      <c r="D65" s="95" t="e">
        <f>'таланты+инициативы0,262'!#REF!</f>
        <v>#REF!</v>
      </c>
      <c r="E65" s="99" t="e">
        <f>'таланты+инициативы0,262'!#REF!</f>
        <v>#REF!</v>
      </c>
    </row>
    <row r="66" spans="1:5" ht="12" hidden="1" customHeight="1" x14ac:dyDescent="0.25">
      <c r="A66" s="713"/>
      <c r="B66" s="714"/>
      <c r="C66" s="129" t="e">
        <f>'таланты+инициативы0,262'!#REF!</f>
        <v>#REF!</v>
      </c>
      <c r="D66" s="95" t="e">
        <f>'таланты+инициативы0,262'!#REF!</f>
        <v>#REF!</v>
      </c>
      <c r="E66" s="99" t="e">
        <f>'таланты+инициативы0,262'!#REF!</f>
        <v>#REF!</v>
      </c>
    </row>
    <row r="67" spans="1:5" ht="12" hidden="1" customHeight="1" x14ac:dyDescent="0.25">
      <c r="A67" s="713"/>
      <c r="B67" s="714"/>
      <c r="C67" s="129" t="e">
        <f>'таланты+инициативы0,262'!#REF!</f>
        <v>#REF!</v>
      </c>
      <c r="D67" s="95" t="e">
        <f>'таланты+инициативы0,262'!#REF!</f>
        <v>#REF!</v>
      </c>
      <c r="E67" s="99" t="e">
        <f>'таланты+инициативы0,262'!#REF!</f>
        <v>#REF!</v>
      </c>
    </row>
    <row r="68" spans="1:5" ht="12" hidden="1" customHeight="1" x14ac:dyDescent="0.25">
      <c r="A68" s="713"/>
      <c r="B68" s="714"/>
      <c r="C68" s="129" t="e">
        <f>'таланты+инициативы0,262'!#REF!</f>
        <v>#REF!</v>
      </c>
      <c r="D68" s="95" t="e">
        <f>'таланты+инициативы0,262'!#REF!</f>
        <v>#REF!</v>
      </c>
      <c r="E68" s="99" t="e">
        <f>'таланты+инициативы0,262'!#REF!</f>
        <v>#REF!</v>
      </c>
    </row>
    <row r="69" spans="1:5" ht="12" hidden="1" customHeight="1" x14ac:dyDescent="0.25">
      <c r="A69" s="713"/>
      <c r="B69" s="714"/>
      <c r="C69" s="129" t="e">
        <f>'таланты+инициативы0,262'!#REF!</f>
        <v>#REF!</v>
      </c>
      <c r="D69" s="95" t="e">
        <f>'таланты+инициативы0,262'!#REF!</f>
        <v>#REF!</v>
      </c>
      <c r="E69" s="99" t="e">
        <f>'таланты+инициативы0,262'!#REF!</f>
        <v>#REF!</v>
      </c>
    </row>
    <row r="70" spans="1:5" ht="12" hidden="1" customHeight="1" x14ac:dyDescent="0.25">
      <c r="A70" s="713"/>
      <c r="B70" s="714"/>
      <c r="C70" s="129" t="e">
        <f>'таланты+инициативы0,262'!#REF!</f>
        <v>#REF!</v>
      </c>
      <c r="D70" s="95" t="e">
        <f>'таланты+инициативы0,262'!#REF!</f>
        <v>#REF!</v>
      </c>
      <c r="E70" s="99" t="e">
        <f>'таланты+инициативы0,262'!#REF!</f>
        <v>#REF!</v>
      </c>
    </row>
    <row r="71" spans="1:5" ht="12" hidden="1" customHeight="1" x14ac:dyDescent="0.25">
      <c r="A71" s="713"/>
      <c r="B71" s="714"/>
      <c r="C71" s="129" t="e">
        <f>'таланты+инициативы0,262'!#REF!</f>
        <v>#REF!</v>
      </c>
      <c r="D71" s="95" t="e">
        <f>'таланты+инициативы0,262'!#REF!</f>
        <v>#REF!</v>
      </c>
      <c r="E71" s="99" t="e">
        <f>'таланты+инициативы0,262'!#REF!</f>
        <v>#REF!</v>
      </c>
    </row>
    <row r="72" spans="1:5" ht="12" hidden="1" customHeight="1" x14ac:dyDescent="0.25">
      <c r="A72" s="713"/>
      <c r="B72" s="714"/>
      <c r="C72" s="129" t="e">
        <f>'таланты+инициативы0,262'!#REF!</f>
        <v>#REF!</v>
      </c>
      <c r="D72" s="95" t="e">
        <f>'таланты+инициативы0,262'!#REF!</f>
        <v>#REF!</v>
      </c>
      <c r="E72" s="99" t="e">
        <f>'таланты+инициативы0,262'!#REF!</f>
        <v>#REF!</v>
      </c>
    </row>
    <row r="73" spans="1:5" ht="12" hidden="1" customHeight="1" x14ac:dyDescent="0.25">
      <c r="A73" s="713"/>
      <c r="B73" s="714"/>
      <c r="C73" s="129" t="e">
        <f>'таланты+инициативы0,262'!#REF!</f>
        <v>#REF!</v>
      </c>
      <c r="D73" s="95" t="e">
        <f>'таланты+инициативы0,262'!#REF!</f>
        <v>#REF!</v>
      </c>
      <c r="E73" s="99" t="e">
        <f>'таланты+инициативы0,262'!#REF!</f>
        <v>#REF!</v>
      </c>
    </row>
    <row r="74" spans="1:5" ht="12" hidden="1" customHeight="1" x14ac:dyDescent="0.25">
      <c r="A74" s="713"/>
      <c r="B74" s="714"/>
      <c r="C74" s="129" t="e">
        <f>'таланты+инициативы0,262'!#REF!</f>
        <v>#REF!</v>
      </c>
      <c r="D74" s="95" t="e">
        <f>'таланты+инициативы0,262'!#REF!</f>
        <v>#REF!</v>
      </c>
      <c r="E74" s="99" t="e">
        <f>'таланты+инициативы0,262'!#REF!</f>
        <v>#REF!</v>
      </c>
    </row>
    <row r="75" spans="1:5" ht="12" hidden="1" customHeight="1" x14ac:dyDescent="0.25">
      <c r="A75" s="713"/>
      <c r="B75" s="714"/>
      <c r="C75" s="129" t="e">
        <f>'таланты+инициативы0,262'!#REF!</f>
        <v>#REF!</v>
      </c>
      <c r="D75" s="95" t="e">
        <f>'таланты+инициативы0,262'!#REF!</f>
        <v>#REF!</v>
      </c>
      <c r="E75" s="99" t="e">
        <f>'таланты+инициативы0,262'!#REF!</f>
        <v>#REF!</v>
      </c>
    </row>
    <row r="76" spans="1:5" ht="12" customHeight="1" x14ac:dyDescent="0.25">
      <c r="A76" s="713"/>
      <c r="B76" s="714"/>
      <c r="C76" s="654" t="s">
        <v>133</v>
      </c>
      <c r="D76" s="655"/>
      <c r="E76" s="656"/>
    </row>
    <row r="77" spans="1:5" ht="12" customHeight="1" x14ac:dyDescent="0.25">
      <c r="A77" s="713"/>
      <c r="B77" s="714"/>
      <c r="C77" s="654" t="s">
        <v>134</v>
      </c>
      <c r="D77" s="655"/>
      <c r="E77" s="656"/>
    </row>
    <row r="78" spans="1:5" ht="12" customHeight="1" x14ac:dyDescent="0.25">
      <c r="A78" s="713"/>
      <c r="B78" s="714"/>
      <c r="C78" s="135" t="str">
        <f>'натур показатели патриотика'!C117</f>
        <v>Теплоэнергия</v>
      </c>
      <c r="D78" s="136" t="str">
        <f>'натур показатели патриотика'!D117</f>
        <v>Гкал</v>
      </c>
      <c r="E78" s="137">
        <f>'таланты+инициативы0,262'!D153</f>
        <v>14.41</v>
      </c>
    </row>
    <row r="79" spans="1:5" ht="12" customHeight="1" x14ac:dyDescent="0.25">
      <c r="A79" s="713"/>
      <c r="B79" s="714"/>
      <c r="C79" s="135" t="str">
        <f>'натур показатели патриотика'!C118</f>
        <v xml:space="preserve">Водоснабжение </v>
      </c>
      <c r="D79" s="136" t="str">
        <f>'натур показатели патриотика'!D118</f>
        <v>м2</v>
      </c>
      <c r="E79" s="137">
        <f>'таланты+инициативы0,262'!D154</f>
        <v>27.8506</v>
      </c>
    </row>
    <row r="80" spans="1:5" ht="12" customHeight="1" x14ac:dyDescent="0.25">
      <c r="A80" s="713"/>
      <c r="B80" s="714"/>
      <c r="C80" s="135" t="str">
        <f>'натур показатели патриотика'!C119</f>
        <v>Водоотведение (септик)</v>
      </c>
      <c r="D80" s="136" t="str">
        <f>'натур показатели патриотика'!D119</f>
        <v>м3</v>
      </c>
      <c r="E80" s="137">
        <f>'таланты+инициативы0,262'!D155</f>
        <v>0.52400000000000002</v>
      </c>
    </row>
    <row r="81" spans="1:5" ht="12" customHeight="1" x14ac:dyDescent="0.25">
      <c r="A81" s="713"/>
      <c r="B81" s="714"/>
      <c r="C81" s="135" t="str">
        <f>'натур показатели патриотика'!C120</f>
        <v>Электроэнергия</v>
      </c>
      <c r="D81" s="136" t="str">
        <f>'натур показатели патриотика'!D120</f>
        <v>МВт час.</v>
      </c>
      <c r="E81" s="137">
        <f>'таланты+инициативы0,262'!D156</f>
        <v>1.5720000000000001</v>
      </c>
    </row>
    <row r="82" spans="1:5" ht="12" customHeight="1" x14ac:dyDescent="0.25">
      <c r="A82" s="713"/>
      <c r="B82" s="714"/>
      <c r="C82" s="135" t="str">
        <f>'натур показатели патриотика'!C121</f>
        <v>ТКО</v>
      </c>
      <c r="D82" s="136" t="str">
        <f>'натур показатели патриотика'!D121</f>
        <v>договор</v>
      </c>
      <c r="E82" s="137">
        <f>'таланты+инициативы0,262'!D157</f>
        <v>2.3580000000000001</v>
      </c>
    </row>
    <row r="83" spans="1:5" ht="12" customHeight="1" x14ac:dyDescent="0.25">
      <c r="A83" s="713"/>
      <c r="B83" s="714"/>
      <c r="C83" s="135" t="str">
        <f>'натур показатели патриотика'!C122</f>
        <v>Электроэнергия (резерв)</v>
      </c>
      <c r="D83" s="136" t="str">
        <f>'натур показатели патриотика'!D122</f>
        <v>МВт час.</v>
      </c>
      <c r="E83" s="137">
        <f>'таланты+инициативы0,262'!D158</f>
        <v>0.26200000000000001</v>
      </c>
    </row>
    <row r="84" spans="1:5" ht="12" customHeight="1" x14ac:dyDescent="0.25">
      <c r="A84" s="713"/>
      <c r="B84" s="714"/>
      <c r="C84" s="660" t="s">
        <v>135</v>
      </c>
      <c r="D84" s="661"/>
      <c r="E84" s="662"/>
    </row>
    <row r="85" spans="1:5" ht="12" customHeight="1" x14ac:dyDescent="0.25">
      <c r="A85" s="713"/>
      <c r="B85" s="714"/>
      <c r="C85" s="248" t="str">
        <f>'таланты+инициативы0,262'!A201</f>
        <v xml:space="preserve">Мониторинг систем пожарной сигнализации  </v>
      </c>
      <c r="D85" s="136" t="s">
        <v>22</v>
      </c>
      <c r="E85" s="249">
        <f>'таланты+инициативы0,262'!D201</f>
        <v>3.1440000000000001</v>
      </c>
    </row>
    <row r="86" spans="1:5" ht="12" customHeight="1" x14ac:dyDescent="0.25">
      <c r="A86" s="713"/>
      <c r="B86" s="714"/>
      <c r="C86" s="248" t="str">
        <f>'таланты+инициативы0,262'!A202</f>
        <v xml:space="preserve">Уборка территории от снега </v>
      </c>
      <c r="D86" s="136" t="s">
        <v>22</v>
      </c>
      <c r="E86" s="249">
        <f>'таланты+инициативы0,262'!D202</f>
        <v>0.52400000000000002</v>
      </c>
    </row>
    <row r="87" spans="1:5" ht="12" customHeight="1" x14ac:dyDescent="0.25">
      <c r="A87" s="713"/>
      <c r="B87" s="714"/>
      <c r="C87" s="248" t="str">
        <f>'таланты+инициативы0,262'!A203</f>
        <v>Профилактическая дезинфекция</v>
      </c>
      <c r="D87" s="136" t="s">
        <v>22</v>
      </c>
      <c r="E87" s="249">
        <f>'таланты+инициативы0,262'!D203</f>
        <v>1.048</v>
      </c>
    </row>
    <row r="88" spans="1:5" ht="12" customHeight="1" x14ac:dyDescent="0.25">
      <c r="A88" s="713"/>
      <c r="B88" s="714"/>
      <c r="C88" s="248" t="str">
        <f>'таланты+инициативы0,262'!A204</f>
        <v>Обслуживание системы видеонаблюдения</v>
      </c>
      <c r="D88" s="136" t="s">
        <v>22</v>
      </c>
      <c r="E88" s="249">
        <f>'таланты+инициативы0,262'!D204</f>
        <v>3.1440000000000001</v>
      </c>
    </row>
    <row r="89" spans="1:5" ht="12" customHeight="1" x14ac:dyDescent="0.25">
      <c r="A89" s="713"/>
      <c r="B89" s="714"/>
      <c r="C89" s="248" t="str">
        <f>'таланты+инициативы0,262'!A205</f>
        <v>Комплексное обслуживание системы тепловодоснабжения и конструктивных элементов здания</v>
      </c>
      <c r="D89" s="136" t="s">
        <v>22</v>
      </c>
      <c r="E89" s="249">
        <f>'таланты+инициативы0,262'!D205</f>
        <v>0.26200000000000001</v>
      </c>
    </row>
    <row r="90" spans="1:5" ht="12" customHeight="1" x14ac:dyDescent="0.25">
      <c r="A90" s="713"/>
      <c r="B90" s="714"/>
      <c r="C90" s="248" t="str">
        <f>'таланты+инициативы0,262'!A206</f>
        <v>Договор осмотр технического состояния автомобиля</v>
      </c>
      <c r="D90" s="136" t="s">
        <v>22</v>
      </c>
      <c r="E90" s="249">
        <f>'таланты+инициативы0,262'!D206</f>
        <v>39.300000000000004</v>
      </c>
    </row>
    <row r="91" spans="1:5" ht="14.45" customHeight="1" x14ac:dyDescent="0.25">
      <c r="A91" s="713"/>
      <c r="B91" s="714"/>
      <c r="C91" s="248" t="str">
        <f>'таланты+инициативы0,262'!A207</f>
        <v>Техническое обслуживание систем пожарной сигнализации</v>
      </c>
      <c r="D91" s="136" t="s">
        <v>22</v>
      </c>
      <c r="E91" s="249">
        <f>'таланты+инициативы0,262'!D207</f>
        <v>3.1440000000000001</v>
      </c>
    </row>
    <row r="92" spans="1:5" ht="14.45" customHeight="1" x14ac:dyDescent="0.25">
      <c r="A92" s="713"/>
      <c r="B92" s="714"/>
      <c r="C92" s="248" t="str">
        <f>'таланты+инициативы0,262'!A208</f>
        <v>Заправка катриджей</v>
      </c>
      <c r="D92" s="136" t="s">
        <v>22</v>
      </c>
      <c r="E92" s="249">
        <f>'таланты+инициативы0,262'!D208</f>
        <v>2.62</v>
      </c>
    </row>
    <row r="93" spans="1:5" ht="14.45" customHeight="1" x14ac:dyDescent="0.25">
      <c r="A93" s="713"/>
      <c r="B93" s="714"/>
      <c r="C93" s="248" t="str">
        <f>'таланты+инициативы0,262'!A209</f>
        <v>ремонт оборудования</v>
      </c>
      <c r="D93" s="136" t="s">
        <v>22</v>
      </c>
      <c r="E93" s="249">
        <f>'таланты+инициативы0,262'!D209</f>
        <v>0.26200000000000001</v>
      </c>
    </row>
    <row r="94" spans="1:5" ht="14.45" customHeight="1" x14ac:dyDescent="0.25">
      <c r="A94" s="713"/>
      <c r="B94" s="714"/>
      <c r="C94" s="248" t="str">
        <f>'таланты+инициативы0,262'!A210</f>
        <v>монтаж системы видеонаблюдения</v>
      </c>
      <c r="D94" s="136" t="s">
        <v>22</v>
      </c>
      <c r="E94" s="249">
        <f>'таланты+инициативы0,262'!D210</f>
        <v>0.26200000000000001</v>
      </c>
    </row>
    <row r="95" spans="1:5" ht="14.45" customHeight="1" x14ac:dyDescent="0.25">
      <c r="A95" s="713"/>
      <c r="B95" s="714"/>
      <c r="C95" s="248" t="str">
        <f>'таланты+инициативы0,262'!A211</f>
        <v>Медосмотр при устройстве на работу</v>
      </c>
      <c r="D95" s="136" t="s">
        <v>22</v>
      </c>
      <c r="E95" s="249">
        <f>'таланты+инициативы0,262'!D211</f>
        <v>0.52400000000000002</v>
      </c>
    </row>
    <row r="96" spans="1:5" ht="14.45" customHeight="1" x14ac:dyDescent="0.25">
      <c r="A96" s="713"/>
      <c r="B96" s="714"/>
      <c r="C96" s="248" t="str">
        <f>'таланты+инициативы0,262'!A212</f>
        <v>Услуги СЕМИС подписка</v>
      </c>
      <c r="D96" s="136" t="s">
        <v>22</v>
      </c>
      <c r="E96" s="249">
        <f>'таланты+инициативы0,262'!D212</f>
        <v>0.26200000000000001</v>
      </c>
    </row>
    <row r="97" spans="1:5" ht="14.45" customHeight="1" x14ac:dyDescent="0.25">
      <c r="A97" s="713"/>
      <c r="B97" s="714"/>
      <c r="C97" s="248" t="str">
        <f>'таланты+инициативы0,262'!A213</f>
        <v>Предрейсовое медицинское обследование 200дней*85руб</v>
      </c>
      <c r="D97" s="136" t="s">
        <v>22</v>
      </c>
      <c r="E97" s="249">
        <f>'таланты+инициативы0,262'!D213</f>
        <v>39.300000000000004</v>
      </c>
    </row>
    <row r="98" spans="1:5" ht="14.45" customHeight="1" x14ac:dyDescent="0.25">
      <c r="A98" s="713"/>
      <c r="B98" s="714"/>
      <c r="C98" s="248" t="str">
        <f>'таланты+инициативы0,262'!A214</f>
        <v xml:space="preserve">Услуги охраны  </v>
      </c>
      <c r="D98" s="136" t="s">
        <v>22</v>
      </c>
      <c r="E98" s="249">
        <f>'таланты+инициативы0,262'!D214</f>
        <v>3.1440000000000001</v>
      </c>
    </row>
    <row r="99" spans="1:5" ht="21" customHeight="1" x14ac:dyDescent="0.25">
      <c r="A99" s="713"/>
      <c r="B99" s="714"/>
      <c r="C99" s="248" t="str">
        <f>'таланты+инициативы0,262'!A215</f>
        <v>Обслуживание систем охранных средств сигнализации (тревожная кнопка)</v>
      </c>
      <c r="D99" s="136" t="s">
        <v>22</v>
      </c>
      <c r="E99" s="249">
        <f>'таланты+инициативы0,262'!D215</f>
        <v>3.1440000000000001</v>
      </c>
    </row>
    <row r="100" spans="1:5" ht="16.5" customHeight="1" x14ac:dyDescent="0.25">
      <c r="A100" s="713"/>
      <c r="B100" s="714"/>
      <c r="C100" s="248" t="str">
        <f>'таланты+инициативы0,262'!A216</f>
        <v>Страховая премия по полису ОСАГО за УАЗ</v>
      </c>
      <c r="D100" s="136" t="s">
        <v>22</v>
      </c>
      <c r="E100" s="249">
        <f>'таланты+инициативы0,262'!D216</f>
        <v>0.26200000000000001</v>
      </c>
    </row>
    <row r="101" spans="1:5" ht="15" customHeight="1" x14ac:dyDescent="0.25">
      <c r="A101" s="713"/>
      <c r="B101" s="714"/>
      <c r="C101" s="248" t="str">
        <f>'таланты+инициативы0,262'!A217</f>
        <v>Диагностика бытовой и оргтехники для определения возможности ее дальнейшего использования (244/226)</v>
      </c>
      <c r="D101" s="136" t="s">
        <v>22</v>
      </c>
      <c r="E101" s="249">
        <f>'таланты+инициативы0,262'!D217</f>
        <v>0.26200000000000001</v>
      </c>
    </row>
    <row r="102" spans="1:5" ht="15" customHeight="1" x14ac:dyDescent="0.25">
      <c r="A102" s="713"/>
      <c r="B102" s="714"/>
      <c r="C102" s="248" t="str">
        <f>'таланты+инициативы0,262'!A218</f>
        <v>Изготовление снежных фигур</v>
      </c>
      <c r="D102" s="136" t="s">
        <v>22</v>
      </c>
      <c r="E102" s="249">
        <f>'таланты+инициативы0,262'!D218</f>
        <v>0.26200000000000001</v>
      </c>
    </row>
    <row r="103" spans="1:5" ht="15" customHeight="1" x14ac:dyDescent="0.25">
      <c r="A103" s="713"/>
      <c r="B103" s="714"/>
      <c r="C103" s="248" t="str">
        <f>'таланты+инициативы0,262'!A219</f>
        <v>изготовление банера</v>
      </c>
      <c r="D103" s="136" t="s">
        <v>22</v>
      </c>
      <c r="E103" s="249">
        <f>'таланты+инициативы0,262'!D219</f>
        <v>0.26200000000000001</v>
      </c>
    </row>
    <row r="104" spans="1:5" ht="15" customHeight="1" x14ac:dyDescent="0.25">
      <c r="A104" s="713"/>
      <c r="B104" s="714"/>
      <c r="C104" s="248" t="str">
        <f>'таланты+инициативы0,262'!A220</f>
        <v>Приобретение программного обеспечения</v>
      </c>
      <c r="D104" s="136" t="s">
        <v>22</v>
      </c>
      <c r="E104" s="249">
        <f>'таланты+инициативы0,262'!D220</f>
        <v>1.048</v>
      </c>
    </row>
    <row r="105" spans="1:5" ht="15" hidden="1" customHeight="1" x14ac:dyDescent="0.25">
      <c r="A105" s="713"/>
      <c r="B105" s="714"/>
      <c r="C105" s="248">
        <f>'таланты+инициативы0,262'!A221</f>
        <v>0</v>
      </c>
      <c r="D105" s="136" t="s">
        <v>22</v>
      </c>
      <c r="E105" s="249">
        <f>'таланты+инициативы0,262'!D221</f>
        <v>0</v>
      </c>
    </row>
    <row r="106" spans="1:5" ht="15" hidden="1" customHeight="1" x14ac:dyDescent="0.25">
      <c r="A106" s="713"/>
      <c r="B106" s="714"/>
      <c r="C106" s="248">
        <f>'таланты+инициативы0,262'!A222</f>
        <v>0</v>
      </c>
      <c r="D106" s="136" t="s">
        <v>22</v>
      </c>
      <c r="E106" s="249">
        <f>'таланты+инициативы0,262'!D222</f>
        <v>0</v>
      </c>
    </row>
    <row r="107" spans="1:5" ht="15" hidden="1" customHeight="1" x14ac:dyDescent="0.25">
      <c r="A107" s="713"/>
      <c r="B107" s="714"/>
      <c r="C107" s="248">
        <f>'таланты+инициативы0,262'!A223</f>
        <v>0</v>
      </c>
      <c r="D107" s="136" t="s">
        <v>22</v>
      </c>
      <c r="E107" s="249">
        <f>'таланты+инициативы0,262'!D223</f>
        <v>0</v>
      </c>
    </row>
    <row r="108" spans="1:5" ht="15" hidden="1" customHeight="1" x14ac:dyDescent="0.25">
      <c r="A108" s="713"/>
      <c r="B108" s="714"/>
      <c r="C108" s="248">
        <f>'таланты+инициативы0,262'!A224</f>
        <v>0</v>
      </c>
      <c r="D108" s="136" t="s">
        <v>22</v>
      </c>
      <c r="E108" s="249">
        <f>'таланты+инициативы0,262'!D224</f>
        <v>0</v>
      </c>
    </row>
    <row r="109" spans="1:5" ht="15" hidden="1" customHeight="1" x14ac:dyDescent="0.25">
      <c r="A109" s="713"/>
      <c r="B109" s="714"/>
      <c r="C109" s="248" t="e">
        <f>'таланты+инициативы0,262'!#REF!</f>
        <v>#REF!</v>
      </c>
      <c r="D109" s="136" t="s">
        <v>22</v>
      </c>
      <c r="E109" s="249" t="e">
        <f>'таланты+инициативы0,262'!#REF!</f>
        <v>#REF!</v>
      </c>
    </row>
    <row r="110" spans="1:5" ht="15" hidden="1" customHeight="1" x14ac:dyDescent="0.25">
      <c r="A110" s="713"/>
      <c r="B110" s="714"/>
      <c r="C110" s="248" t="e">
        <f>'таланты+инициативы0,262'!#REF!</f>
        <v>#REF!</v>
      </c>
      <c r="D110" s="136" t="s">
        <v>22</v>
      </c>
      <c r="E110" s="249" t="e">
        <f>'таланты+инициативы0,262'!#REF!</f>
        <v>#REF!</v>
      </c>
    </row>
    <row r="111" spans="1:5" ht="15" hidden="1" customHeight="1" x14ac:dyDescent="0.25">
      <c r="A111" s="713"/>
      <c r="B111" s="714"/>
      <c r="C111" s="248" t="e">
        <f>'таланты+инициативы0,262'!#REF!</f>
        <v>#REF!</v>
      </c>
      <c r="D111" s="136" t="s">
        <v>22</v>
      </c>
      <c r="E111" s="249" t="e">
        <f>'таланты+инициативы0,262'!#REF!</f>
        <v>#REF!</v>
      </c>
    </row>
    <row r="112" spans="1:5" ht="15" hidden="1" customHeight="1" x14ac:dyDescent="0.25">
      <c r="A112" s="713"/>
      <c r="B112" s="714"/>
      <c r="C112" s="248" t="e">
        <f>'таланты+инициативы0,262'!#REF!</f>
        <v>#REF!</v>
      </c>
      <c r="D112" s="136" t="s">
        <v>22</v>
      </c>
      <c r="E112" s="249" t="e">
        <f>'таланты+инициативы0,262'!#REF!</f>
        <v>#REF!</v>
      </c>
    </row>
    <row r="113" spans="1:5" ht="15" hidden="1" customHeight="1" x14ac:dyDescent="0.25">
      <c r="A113" s="713"/>
      <c r="B113" s="714"/>
      <c r="C113" s="248" t="e">
        <f>'таланты+инициативы0,262'!#REF!</f>
        <v>#REF!</v>
      </c>
      <c r="D113" s="136" t="s">
        <v>22</v>
      </c>
      <c r="E113" s="249" t="e">
        <f>'таланты+инициативы0,262'!#REF!</f>
        <v>#REF!</v>
      </c>
    </row>
    <row r="114" spans="1:5" ht="15" hidden="1" customHeight="1" x14ac:dyDescent="0.25">
      <c r="A114" s="713"/>
      <c r="B114" s="714"/>
      <c r="C114" s="248" t="e">
        <f>'таланты+инициативы0,262'!#REF!</f>
        <v>#REF!</v>
      </c>
      <c r="D114" s="136" t="s">
        <v>22</v>
      </c>
      <c r="E114" s="249" t="e">
        <f>'таланты+инициативы0,262'!#REF!</f>
        <v>#REF!</v>
      </c>
    </row>
    <row r="115" spans="1:5" ht="15" hidden="1" customHeight="1" x14ac:dyDescent="0.25">
      <c r="A115" s="713"/>
      <c r="B115" s="714"/>
      <c r="C115" s="248" t="e">
        <f>'таланты+инициативы0,262'!#REF!</f>
        <v>#REF!</v>
      </c>
      <c r="D115" s="136" t="s">
        <v>22</v>
      </c>
      <c r="E115" s="249" t="e">
        <f>'таланты+инициативы0,262'!#REF!</f>
        <v>#REF!</v>
      </c>
    </row>
    <row r="116" spans="1:5" ht="15" hidden="1" customHeight="1" x14ac:dyDescent="0.25">
      <c r="A116" s="713"/>
      <c r="B116" s="714"/>
      <c r="C116" s="248" t="e">
        <f>'таланты+инициативы0,262'!#REF!</f>
        <v>#REF!</v>
      </c>
      <c r="D116" s="136" t="s">
        <v>22</v>
      </c>
      <c r="E116" s="249" t="e">
        <f>'таланты+инициативы0,262'!#REF!</f>
        <v>#REF!</v>
      </c>
    </row>
    <row r="117" spans="1:5" ht="15" hidden="1" customHeight="1" x14ac:dyDescent="0.25">
      <c r="A117" s="713"/>
      <c r="B117" s="714"/>
      <c r="C117" s="248" t="e">
        <f>'таланты+инициативы0,262'!#REF!</f>
        <v>#REF!</v>
      </c>
      <c r="D117" s="136" t="s">
        <v>22</v>
      </c>
      <c r="E117" s="249" t="e">
        <f>'таланты+инициативы0,262'!#REF!</f>
        <v>#REF!</v>
      </c>
    </row>
    <row r="118" spans="1:5" ht="15" hidden="1" customHeight="1" x14ac:dyDescent="0.25">
      <c r="A118" s="713"/>
      <c r="B118" s="714"/>
      <c r="C118" s="248" t="e">
        <f>'таланты+инициативы0,262'!#REF!</f>
        <v>#REF!</v>
      </c>
      <c r="D118" s="136" t="s">
        <v>22</v>
      </c>
      <c r="E118" s="249" t="e">
        <f>'таланты+инициативы0,262'!#REF!</f>
        <v>#REF!</v>
      </c>
    </row>
    <row r="119" spans="1:5" ht="15" hidden="1" customHeight="1" x14ac:dyDescent="0.25">
      <c r="A119" s="713"/>
      <c r="B119" s="714"/>
      <c r="C119" s="248" t="e">
        <f>'таланты+инициативы0,262'!#REF!</f>
        <v>#REF!</v>
      </c>
      <c r="D119" s="136" t="s">
        <v>22</v>
      </c>
      <c r="E119" s="249" t="e">
        <f>'таланты+инициативы0,262'!#REF!</f>
        <v>#REF!</v>
      </c>
    </row>
    <row r="120" spans="1:5" ht="15" customHeight="1" x14ac:dyDescent="0.25">
      <c r="A120" s="713"/>
      <c r="B120" s="714"/>
      <c r="C120" s="657" t="s">
        <v>136</v>
      </c>
      <c r="D120" s="658"/>
      <c r="E120" s="659"/>
    </row>
    <row r="121" spans="1:5" ht="15" customHeight="1" x14ac:dyDescent="0.25">
      <c r="A121" s="713"/>
      <c r="B121" s="714"/>
      <c r="C121" s="139" t="str">
        <f>'инновации+добровольчество0,369'!A198</f>
        <v>переговоры по району, мин</v>
      </c>
      <c r="D121" s="101" t="s">
        <v>84</v>
      </c>
      <c r="E121" s="233">
        <f>'таланты+инициативы0,262'!D181</f>
        <v>0</v>
      </c>
    </row>
    <row r="122" spans="1:5" ht="15" customHeight="1" x14ac:dyDescent="0.25">
      <c r="A122" s="713"/>
      <c r="B122" s="714"/>
      <c r="C122" s="139" t="str">
        <f>'инновации+добровольчество0,369'!A199</f>
        <v>Переговоры за пределами района,мин</v>
      </c>
      <c r="D122" s="101" t="s">
        <v>22</v>
      </c>
      <c r="E122" s="395">
        <f>'таланты+инициативы0,262'!D182</f>
        <v>2.6252399999999998</v>
      </c>
    </row>
    <row r="123" spans="1:5" ht="15" customHeight="1" x14ac:dyDescent="0.25">
      <c r="A123" s="713"/>
      <c r="B123" s="714"/>
      <c r="C123" s="139" t="str">
        <f>'инновации+добровольчество0,369'!A200</f>
        <v>Абоненская плата за услуги связи, номеров</v>
      </c>
      <c r="D123" s="101" t="s">
        <v>37</v>
      </c>
      <c r="E123" s="233">
        <f>'таланты+инициативы0,262'!D183</f>
        <v>0.26200000000000001</v>
      </c>
    </row>
    <row r="124" spans="1:5" ht="15" customHeight="1" x14ac:dyDescent="0.25">
      <c r="A124" s="713"/>
      <c r="B124" s="714"/>
      <c r="C124" s="139" t="str">
        <f>'инновации+добровольчество0,369'!A201</f>
        <v xml:space="preserve">Абоненская плата за услуги Интернет </v>
      </c>
      <c r="D124" s="101" t="s">
        <v>37</v>
      </c>
      <c r="E124" s="233">
        <f>'таланты+инициативы0,262'!D184</f>
        <v>0.26200000000000001</v>
      </c>
    </row>
    <row r="125" spans="1:5" ht="15" customHeight="1" x14ac:dyDescent="0.25">
      <c r="A125" s="713"/>
      <c r="B125" s="714"/>
      <c r="C125" s="139" t="str">
        <f>'инновации+добровольчество0,369'!A202</f>
        <v>Почтовые конверты</v>
      </c>
      <c r="D125" s="101" t="s">
        <v>38</v>
      </c>
      <c r="E125" s="233">
        <f>'таланты+инициативы0,262'!D185</f>
        <v>1.31</v>
      </c>
    </row>
    <row r="126" spans="1:5" ht="15" hidden="1" customHeight="1" x14ac:dyDescent="0.25">
      <c r="A126" s="713"/>
      <c r="B126" s="714"/>
      <c r="C126" s="139" t="e">
        <f>'инновации+добровольчество0,369'!#REF!</f>
        <v>#REF!</v>
      </c>
      <c r="D126" s="101" t="s">
        <v>38</v>
      </c>
      <c r="E126" s="233" t="e">
        <f>'таланты+инициативы0,262'!#REF!</f>
        <v>#REF!</v>
      </c>
    </row>
    <row r="127" spans="1:5" ht="15" hidden="1" customHeight="1" x14ac:dyDescent="0.25">
      <c r="A127" s="713"/>
      <c r="B127" s="714"/>
      <c r="C127" s="139" t="e">
        <f>'инновации+добровольчество0,369'!#REF!</f>
        <v>#REF!</v>
      </c>
      <c r="D127" s="101" t="s">
        <v>22</v>
      </c>
      <c r="E127" s="233" t="e">
        <f>'таланты+инициативы0,262'!#REF!</f>
        <v>#REF!</v>
      </c>
    </row>
    <row r="128" spans="1:5" ht="12" customHeight="1" x14ac:dyDescent="0.25">
      <c r="A128" s="713"/>
      <c r="B128" s="714"/>
      <c r="C128" s="663" t="s">
        <v>137</v>
      </c>
      <c r="D128" s="664"/>
      <c r="E128" s="665"/>
    </row>
    <row r="129" spans="1:5" ht="21.6" customHeight="1" x14ac:dyDescent="0.25">
      <c r="A129" s="713"/>
      <c r="B129" s="714"/>
      <c r="C129" s="110" t="s">
        <v>185</v>
      </c>
      <c r="D129" s="250" t="s">
        <v>141</v>
      </c>
      <c r="E129" s="169" t="e">
        <f>'таланты+инициативы0,262'!#REF!</f>
        <v>#REF!</v>
      </c>
    </row>
    <row r="130" spans="1:5" ht="12" customHeight="1" x14ac:dyDescent="0.25">
      <c r="A130" s="713"/>
      <c r="B130" s="714"/>
      <c r="C130" s="119" t="s">
        <v>139</v>
      </c>
      <c r="D130" s="250" t="s">
        <v>132</v>
      </c>
      <c r="E130" s="169">
        <f>'таланты+инициативы0,262'!E130</f>
        <v>8780.94</v>
      </c>
    </row>
    <row r="131" spans="1:5" ht="15" customHeight="1" x14ac:dyDescent="0.25">
      <c r="A131" s="713"/>
      <c r="B131" s="714"/>
      <c r="C131" s="119" t="s">
        <v>85</v>
      </c>
      <c r="D131" s="250" t="s">
        <v>132</v>
      </c>
      <c r="E131" s="169">
        <f>'таланты+инициативы0,262'!E131</f>
        <v>18467.580000000002</v>
      </c>
    </row>
    <row r="132" spans="1:5" ht="13.5" customHeight="1" x14ac:dyDescent="0.25">
      <c r="A132" s="713"/>
      <c r="B132" s="714"/>
      <c r="C132" s="119" t="s">
        <v>140</v>
      </c>
      <c r="D132" s="250" t="s">
        <v>132</v>
      </c>
      <c r="E132" s="169">
        <f>'таланты+инициативы0,262'!E132</f>
        <v>18474.88</v>
      </c>
    </row>
    <row r="133" spans="1:5" ht="24.6" customHeight="1" x14ac:dyDescent="0.25">
      <c r="A133" s="713"/>
      <c r="B133" s="714"/>
      <c r="C133" s="523" t="s">
        <v>144</v>
      </c>
      <c r="D133" s="524"/>
      <c r="E133" s="525"/>
    </row>
    <row r="134" spans="1:5" ht="12" customHeight="1" x14ac:dyDescent="0.25">
      <c r="A134" s="713"/>
      <c r="B134" s="714"/>
      <c r="C134" s="428" t="str">
        <f>'инновации+добровольчество0,369'!A167</f>
        <v>Пособие по уходу за ребенком до 3-х лет</v>
      </c>
      <c r="D134" s="431" t="s">
        <v>120</v>
      </c>
      <c r="E134" s="234" t="e">
        <f>E129</f>
        <v>#REF!</v>
      </c>
    </row>
    <row r="135" spans="1:5" ht="12" hidden="1" customHeight="1" x14ac:dyDescent="0.25">
      <c r="A135" s="713"/>
      <c r="B135" s="714"/>
      <c r="C135" s="663" t="s">
        <v>145</v>
      </c>
      <c r="D135" s="664"/>
      <c r="E135" s="665"/>
    </row>
    <row r="136" spans="1:5" ht="12" hidden="1" customHeight="1" x14ac:dyDescent="0.25">
      <c r="A136" s="713"/>
      <c r="B136" s="714"/>
      <c r="C136" s="120" t="s">
        <v>194</v>
      </c>
      <c r="D136" s="101" t="s">
        <v>39</v>
      </c>
      <c r="E136" s="231">
        <f>'таланты+инициативы0,262'!E172</f>
        <v>19.911999999999999</v>
      </c>
    </row>
    <row r="137" spans="1:5" ht="12" hidden="1" customHeight="1" x14ac:dyDescent="0.25">
      <c r="A137" s="713"/>
      <c r="B137" s="714"/>
      <c r="C137" s="120" t="s">
        <v>195</v>
      </c>
      <c r="D137" s="101" t="s">
        <v>39</v>
      </c>
      <c r="E137" s="231">
        <f>'таланты+инициативы0,262'!E173</f>
        <v>4.9779999999999998</v>
      </c>
    </row>
    <row r="138" spans="1:5" ht="12" hidden="1" customHeight="1" x14ac:dyDescent="0.25">
      <c r="A138" s="713"/>
      <c r="B138" s="714"/>
      <c r="C138" s="120" t="s">
        <v>196</v>
      </c>
      <c r="D138" s="101" t="s">
        <v>39</v>
      </c>
      <c r="E138" s="231">
        <f>'таланты+инициативы0,262'!E174</f>
        <v>14.934000000000001</v>
      </c>
    </row>
    <row r="139" spans="1:5" ht="12" customHeight="1" x14ac:dyDescent="0.25">
      <c r="A139" s="713"/>
      <c r="B139" s="714"/>
      <c r="C139" s="526" t="s">
        <v>146</v>
      </c>
      <c r="D139" s="527"/>
      <c r="E139" s="528"/>
    </row>
    <row r="140" spans="1:5" ht="11.25" customHeight="1" x14ac:dyDescent="0.25">
      <c r="A140" s="713"/>
      <c r="B140" s="714"/>
      <c r="C140" s="123" t="str">
        <f>'инновации+добровольчество0,369'!A210</f>
        <v>Провоз груза 2000 кг (1 кг=9,50 руб)</v>
      </c>
      <c r="D140" s="84" t="s">
        <v>22</v>
      </c>
      <c r="E140" s="239">
        <f>E136</f>
        <v>19.911999999999999</v>
      </c>
    </row>
    <row r="141" spans="1:5" ht="12" customHeight="1" x14ac:dyDescent="0.25">
      <c r="A141" s="713"/>
      <c r="B141" s="714"/>
      <c r="C141" s="657" t="s">
        <v>147</v>
      </c>
      <c r="D141" s="658"/>
      <c r="E141" s="659"/>
    </row>
    <row r="142" spans="1:5" ht="12" customHeight="1" x14ac:dyDescent="0.25">
      <c r="A142" s="713"/>
      <c r="B142" s="714"/>
      <c r="C142" s="429" t="str">
        <f>'таланты+инициативы0,262'!A231</f>
        <v>Обучение электроустановки</v>
      </c>
      <c r="D142" s="136" t="s">
        <v>120</v>
      </c>
      <c r="E142" s="430">
        <f>'таланты+инициативы0,262'!D231</f>
        <v>0.52400000000000002</v>
      </c>
    </row>
    <row r="143" spans="1:5" ht="12" customHeight="1" x14ac:dyDescent="0.25">
      <c r="A143" s="713"/>
      <c r="B143" s="714"/>
      <c r="C143" s="429" t="str">
        <f>'таланты+инициативы0,262'!A232</f>
        <v>переподготовка</v>
      </c>
      <c r="D143" s="136" t="s">
        <v>120</v>
      </c>
      <c r="E143" s="430">
        <f>'таланты+инициативы0,262'!D232</f>
        <v>0.78600000000000003</v>
      </c>
    </row>
    <row r="144" spans="1:5" ht="12.75" customHeight="1" x14ac:dyDescent="0.25">
      <c r="A144" s="713"/>
      <c r="B144" s="714"/>
      <c r="C144" s="429" t="str">
        <f>'таланты+инициативы0,262'!A233</f>
        <v>КОНТРАКТ ООО ОПТИМА ХОЗЫ</v>
      </c>
      <c r="D144" s="67" t="str">
        <f>'натур показатели патриотика'!D181</f>
        <v>шт</v>
      </c>
      <c r="E144" s="169">
        <f>'таланты+инициативы0,262'!D233</f>
        <v>0.26200000000000001</v>
      </c>
    </row>
    <row r="145" spans="1:5" ht="12.75" customHeight="1" x14ac:dyDescent="0.25">
      <c r="A145" s="713"/>
      <c r="B145" s="714"/>
      <c r="C145" s="429" t="str">
        <f>'таланты+инициативы0,262'!A234</f>
        <v>Кисть Акор "ЭКСПЕРТ"КФ- 25*8 натур.щетина /10/1050/</v>
      </c>
      <c r="D145" s="67" t="str">
        <f>'натур показатели патриотика'!D182</f>
        <v>шт</v>
      </c>
      <c r="E145" s="169">
        <f>'таланты+инициативы0,262'!D234</f>
        <v>0.26200000000000001</v>
      </c>
    </row>
    <row r="146" spans="1:5" ht="12" customHeight="1" x14ac:dyDescent="0.25">
      <c r="A146" s="713"/>
      <c r="B146" s="714"/>
      <c r="C146" s="429" t="str">
        <f>'таланты+инициативы0,262'!A235</f>
        <v>Лак БТ-577 (Кузбасслак)   0,9л СГ /6/</v>
      </c>
      <c r="D146" s="67" t="str">
        <f>'натур показатели патриотика'!D183</f>
        <v>шт</v>
      </c>
      <c r="E146" s="169">
        <f>'таланты+инициативы0,262'!D235</f>
        <v>0.26200000000000001</v>
      </c>
    </row>
    <row r="147" spans="1:5" ht="12" customHeight="1" x14ac:dyDescent="0.25">
      <c r="A147" s="713"/>
      <c r="B147" s="714"/>
      <c r="C147" s="429" t="str">
        <f>'таланты+инициативы0,262'!A236</f>
        <v>Морилка "Красное дерево" 0,50л водная  пэт</v>
      </c>
      <c r="D147" s="67" t="str">
        <f>'натур показатели патриотика'!D184</f>
        <v>шт</v>
      </c>
      <c r="E147" s="169">
        <f>'таланты+инициативы0,262'!D236</f>
        <v>0.52400000000000002</v>
      </c>
    </row>
    <row r="148" spans="1:5" ht="12" customHeight="1" x14ac:dyDescent="0.25">
      <c r="A148" s="713"/>
      <c r="B148" s="714"/>
      <c r="C148" s="429" t="str">
        <f>'таланты+инициативы0,262'!A237</f>
        <v>Порожек стык 1,8 м дуб темный 60мм (6) ПС07.1800.091</v>
      </c>
      <c r="D148" s="67" t="str">
        <f>'натур показатели патриотика'!D185</f>
        <v>шт</v>
      </c>
      <c r="E148" s="169">
        <f>'таланты+инициативы0,262'!D237</f>
        <v>0.52400000000000002</v>
      </c>
    </row>
    <row r="149" spans="1:5" ht="12" customHeight="1" x14ac:dyDescent="0.25">
      <c r="A149" s="713"/>
      <c r="B149" s="714"/>
      <c r="C149" s="429" t="str">
        <f>'таланты+инициативы0,262'!A238</f>
        <v>Профиль потолочный А-1 3,0м в сборе (Т) (20)</v>
      </c>
      <c r="D149" s="67" t="str">
        <f>'натур показатели патриотика'!D186</f>
        <v>шт</v>
      </c>
      <c r="E149" s="169">
        <f>'таланты+инициативы0,262'!D238</f>
        <v>0.26200000000000001</v>
      </c>
    </row>
    <row r="150" spans="1:5" ht="12" customHeight="1" x14ac:dyDescent="0.25">
      <c r="A150" s="713"/>
      <c r="B150" s="714"/>
      <c r="C150" s="429" t="str">
        <f>'таланты+инициативы0,262'!A239</f>
        <v>STAYER MAXI, 105х55мм, стусло пластиковое</v>
      </c>
      <c r="D150" s="67" t="str">
        <f>'натур показатели патриотика'!D187</f>
        <v>шт</v>
      </c>
      <c r="E150" s="169">
        <f>'таланты+инициативы0,262'!D239</f>
        <v>0.26200000000000001</v>
      </c>
    </row>
    <row r="151" spans="1:5" ht="12" customHeight="1" x14ac:dyDescent="0.25">
      <c r="A151" s="713"/>
      <c r="B151" s="714"/>
      <c r="C151" s="429" t="str">
        <f>'таланты+инициативы0,262'!A240</f>
        <v>Ножовка по металлу ЗУБР МХ-100, метал.рамка, пласт.ручка,натяжение 60кг, 300мм</v>
      </c>
      <c r="D151" s="67" t="str">
        <f>'натур показатели патриотика'!D188</f>
        <v>шт</v>
      </c>
      <c r="E151" s="169">
        <f>'таланты+инициативы0,262'!D240</f>
        <v>0.26200000000000001</v>
      </c>
    </row>
    <row r="152" spans="1:5" ht="12" customHeight="1" x14ac:dyDescent="0.25">
      <c r="A152" s="713"/>
      <c r="B152" s="714"/>
      <c r="C152" s="429" t="str">
        <f>'таланты+инициативы0,262'!A241</f>
        <v>Ножовка ЗУБР Молния-5 по дереву, прямой крупный зуб, 500мм</v>
      </c>
      <c r="D152" s="67" t="str">
        <f>'натур показатели патриотика'!D189</f>
        <v>шт</v>
      </c>
      <c r="E152" s="169">
        <f>'таланты+инициативы0,262'!D241</f>
        <v>0.26200000000000001</v>
      </c>
    </row>
    <row r="153" spans="1:5" ht="12" customHeight="1" x14ac:dyDescent="0.25">
      <c r="A153" s="713"/>
      <c r="B153" s="714"/>
      <c r="C153" s="429" t="str">
        <f>'таланты+инициативы0,262'!A242</f>
        <v>Рулетка ХК STANDART 10м*25мм, магнит, автостоп, обрезиненный корпус /12/60/</v>
      </c>
      <c r="D153" s="67" t="str">
        <f>'натур показатели патриотика'!D190</f>
        <v>шт</v>
      </c>
      <c r="E153" s="169">
        <f>'таланты+инициативы0,262'!D242</f>
        <v>0.52400000000000002</v>
      </c>
    </row>
    <row r="154" spans="1:5" ht="12" customHeight="1" x14ac:dyDescent="0.25">
      <c r="A154" s="713"/>
      <c r="B154" s="714"/>
      <c r="C154" s="429" t="str">
        <f>'таланты+инициативы0,262'!A243</f>
        <v>Хомут нейлоновый 3,6х250мм 100шт белый /10/</v>
      </c>
      <c r="D154" s="67" t="str">
        <f>'натур показатели патриотика'!D191</f>
        <v>шт</v>
      </c>
      <c r="E154" s="169">
        <f>'таланты+инициативы0,262'!D243</f>
        <v>0.26200000000000001</v>
      </c>
    </row>
    <row r="155" spans="1:5" ht="12" customHeight="1" x14ac:dyDescent="0.25">
      <c r="A155" s="713"/>
      <c r="B155" s="714"/>
      <c r="C155" s="429" t="str">
        <f>'таланты+инициативы0,262'!A244</f>
        <v>Хомут нейлоновый 3,6х350мм 100шт белый</v>
      </c>
      <c r="D155" s="67" t="str">
        <f>'натур показатели патриотика'!D192</f>
        <v>шт</v>
      </c>
      <c r="E155" s="169">
        <f>'таланты+инициативы0,262'!D244</f>
        <v>0.26200000000000001</v>
      </c>
    </row>
    <row r="156" spans="1:5" ht="12" customHeight="1" x14ac:dyDescent="0.25">
      <c r="A156" s="713"/>
      <c r="B156" s="714"/>
      <c r="C156" s="429" t="str">
        <f>'таланты+инициативы0,262'!A245</f>
        <v>Нож ЕРМАК 18 мм, складной, двухкомпонентная рукоятка, сменное лезвие 649-015/1/</v>
      </c>
      <c r="D156" s="67" t="str">
        <f>'натур показатели патриотика'!D193</f>
        <v>шт</v>
      </c>
      <c r="E156" s="169">
        <f>'таланты+инициативы0,262'!D245</f>
        <v>0.26200000000000001</v>
      </c>
    </row>
    <row r="157" spans="1:5" ht="12" customHeight="1" x14ac:dyDescent="0.25">
      <c r="A157" s="713"/>
      <c r="B157" s="714"/>
      <c r="C157" s="429" t="str">
        <f>'таланты+инициативы0,262'!A246</f>
        <v>Сверло ЗУБР "МАСТЕР" по бетону ударное, 10x300мм</v>
      </c>
      <c r="D157" s="67" t="str">
        <f>'натур показатели патриотика'!D194</f>
        <v>шт</v>
      </c>
      <c r="E157" s="169">
        <f>'таланты+инициативы0,262'!D246</f>
        <v>0.26200000000000001</v>
      </c>
    </row>
    <row r="158" spans="1:5" ht="12" customHeight="1" x14ac:dyDescent="0.25">
      <c r="A158" s="713"/>
      <c r="B158" s="714"/>
      <c r="C158" s="429" t="str">
        <f>'таланты+инициативы0,262'!A247</f>
        <v>Сверло ЗУБР "СУПЕР-6" по бетону ударное, шестигранный хвостовик, 8x300мм</v>
      </c>
      <c r="D158" s="67" t="str">
        <f>'натур показатели патриотика'!D195</f>
        <v>шт</v>
      </c>
      <c r="E158" s="169">
        <f>'таланты+инициативы0,262'!D247</f>
        <v>0.26200000000000001</v>
      </c>
    </row>
    <row r="159" spans="1:5" ht="12" customHeight="1" x14ac:dyDescent="0.25">
      <c r="A159" s="713"/>
      <c r="B159" s="714"/>
      <c r="C159" s="429" t="str">
        <f>'таланты+инициативы0,262'!A248</f>
        <v>ЗУБР МАСТЕР 6 х 150  мм сверло по бетону</v>
      </c>
      <c r="D159" s="67" t="str">
        <f>'натур показатели патриотика'!D196</f>
        <v>шт</v>
      </c>
      <c r="E159" s="169">
        <f>'таланты+инициативы0,262'!D248</f>
        <v>0.26200000000000001</v>
      </c>
    </row>
    <row r="160" spans="1:5" ht="12" customHeight="1" x14ac:dyDescent="0.25">
      <c r="A160" s="713"/>
      <c r="B160" s="714"/>
      <c r="C160" s="429" t="str">
        <f>'таланты+инициативы0,262'!A249</f>
        <v>ЗУБР МАСТЕР 4 х 75  мм сверло по бетону</v>
      </c>
      <c r="D160" s="67" t="str">
        <f>'натур показатели патриотика'!D197</f>
        <v>шт</v>
      </c>
      <c r="E160" s="169">
        <f>'таланты+инициативы0,262'!D249</f>
        <v>0.26200000000000001</v>
      </c>
    </row>
    <row r="161" spans="1:5" ht="12" customHeight="1" x14ac:dyDescent="0.25">
      <c r="A161" s="713"/>
      <c r="B161" s="714"/>
      <c r="C161" s="429" t="str">
        <f>'таланты+инициативы0,262'!A250</f>
        <v>ЗУБР МАСТЕР 5 x 85  мм сверло по бетону</v>
      </c>
      <c r="D161" s="67" t="str">
        <f>'натур показатели патриотика'!D198</f>
        <v>шт</v>
      </c>
      <c r="E161" s="169">
        <f>'таланты+инициативы0,262'!D250</f>
        <v>0.26200000000000001</v>
      </c>
    </row>
    <row r="162" spans="1:5" ht="12" customHeight="1" x14ac:dyDescent="0.25">
      <c r="A162" s="713"/>
      <c r="B162" s="714"/>
      <c r="C162" s="429" t="str">
        <f>'таланты+инициативы0,262'!A251</f>
        <v>Плинтус напольный с кабель-каналом Line Plast L048 Ироко 58мм*2,5м (40) L048 Ироко</v>
      </c>
      <c r="D162" s="67" t="str">
        <f>'натур показатели патриотика'!D199</f>
        <v>шт</v>
      </c>
      <c r="E162" s="169">
        <f>'таланты+инициативы0,262'!D251</f>
        <v>4.7160000000000002</v>
      </c>
    </row>
    <row r="163" spans="1:5" ht="12" customHeight="1" x14ac:dyDescent="0.25">
      <c r="A163" s="713"/>
      <c r="B163" s="714"/>
      <c r="C163" s="429" t="str">
        <f>'таланты+инициативы0,262'!A252</f>
        <v>Угол наружный Line Plast L048 Ироко 58мм</v>
      </c>
      <c r="D163" s="67" t="str">
        <f>'натур показатели патриотика'!D200</f>
        <v>шт</v>
      </c>
      <c r="E163" s="169">
        <f>'таланты+инициативы0,262'!D252</f>
        <v>3.1440000000000001</v>
      </c>
    </row>
    <row r="164" spans="1:5" ht="12" customHeight="1" x14ac:dyDescent="0.25">
      <c r="A164" s="713"/>
      <c r="B164" s="714"/>
      <c r="C164" s="429" t="str">
        <f>'таланты+инициативы0,262'!A253</f>
        <v>Угол внутренний Line Plast L048 Ироко 58мм</v>
      </c>
      <c r="D164" s="67" t="str">
        <f>'натур показатели патриотика'!D201</f>
        <v>шт</v>
      </c>
      <c r="E164" s="169">
        <f>'таланты+инициативы0,262'!D253</f>
        <v>3.1440000000000001</v>
      </c>
    </row>
    <row r="165" spans="1:5" ht="12" customHeight="1" x14ac:dyDescent="0.25">
      <c r="A165" s="713"/>
      <c r="B165" s="714"/>
      <c r="C165" s="429" t="str">
        <f>'таланты+инициативы0,262'!A254</f>
        <v>Соединитель Line Plast L048 Ироко 58мм (50)</v>
      </c>
      <c r="D165" s="67" t="str">
        <f>'натур показатели патриотика'!D202</f>
        <v>шт</v>
      </c>
      <c r="E165" s="169">
        <f>'таланты+инициативы0,262'!D254</f>
        <v>5.24</v>
      </c>
    </row>
    <row r="166" spans="1:5" ht="12" customHeight="1" x14ac:dyDescent="0.25">
      <c r="A166" s="713"/>
      <c r="B166" s="714"/>
      <c r="C166" s="429" t="str">
        <f>'таланты+инициативы0,262'!A255</f>
        <v>Торцевик Line Plast L048 Ироко левый 58мм (50)</v>
      </c>
      <c r="D166" s="67" t="str">
        <f>'натур показатели патриотика'!D203</f>
        <v>шт</v>
      </c>
      <c r="E166" s="169">
        <f>'таланты+инициативы0,262'!D255</f>
        <v>1.5720000000000001</v>
      </c>
    </row>
    <row r="167" spans="1:5" ht="12" customHeight="1" x14ac:dyDescent="0.25">
      <c r="A167" s="713"/>
      <c r="B167" s="714"/>
      <c r="C167" s="429" t="str">
        <f>'таланты+инициативы0,262'!A256</f>
        <v>Торцевик Line Plast L048 Ироко правый 58мм (50)</v>
      </c>
      <c r="D167" s="67" t="str">
        <f>'натур показатели патриотика'!D204</f>
        <v>шт</v>
      </c>
      <c r="E167" s="169">
        <f>'таланты+инициативы0,262'!D256</f>
        <v>1.5720000000000001</v>
      </c>
    </row>
    <row r="168" spans="1:5" ht="12" customHeight="1" x14ac:dyDescent="0.25">
      <c r="A168" s="713"/>
      <c r="B168" s="714"/>
      <c r="C168" s="429" t="str">
        <f>'таланты+инициативы0,262'!A257</f>
        <v>Карниз для штор гибкий ArtFlex белый 5,0м (11 хомутов, 50 крючков)</v>
      </c>
      <c r="D168" s="67" t="str">
        <f>'натур показатели патриотика'!D205</f>
        <v>шт</v>
      </c>
      <c r="E168" s="169">
        <f>'таланты+инициативы0,262'!D257</f>
        <v>0.26200000000000001</v>
      </c>
    </row>
    <row r="169" spans="1:5" ht="12" customHeight="1" x14ac:dyDescent="0.25">
      <c r="A169" s="713"/>
      <c r="B169" s="714"/>
      <c r="C169" s="429" t="str">
        <f>'таланты+инициативы0,262'!A258</f>
        <v>Выключатель Lezard Mira 1СП белый 701-0202-100 /10/120/</v>
      </c>
      <c r="D169" s="67" t="str">
        <f>'натур показатели патриотика'!D206</f>
        <v>шт</v>
      </c>
      <c r="E169" s="169">
        <f>'таланты+инициативы0,262'!D258</f>
        <v>0.52400000000000002</v>
      </c>
    </row>
    <row r="170" spans="1:5" ht="12" customHeight="1" x14ac:dyDescent="0.25">
      <c r="A170" s="713"/>
      <c r="B170" s="714"/>
      <c r="C170" s="429" t="str">
        <f>'таланты+инициативы0,262'!A259</f>
        <v xml:space="preserve">Клей Henkel Момент Столяр ПВА универсальный, 250гр </v>
      </c>
      <c r="D170" s="67" t="str">
        <f>'натур показатели патриотика'!D207</f>
        <v>шт</v>
      </c>
      <c r="E170" s="169">
        <f>'таланты+инициативы0,262'!D259</f>
        <v>0.26200000000000001</v>
      </c>
    </row>
    <row r="171" spans="1:5" ht="12" customHeight="1" x14ac:dyDescent="0.25">
      <c r="A171" s="713"/>
      <c r="B171" s="714"/>
      <c r="C171" s="429" t="str">
        <f>'таланты+инициативы0,262'!A260</f>
        <v>Порожек стык 1,8 мербау 37мм ПС03.1800.093</v>
      </c>
      <c r="D171" s="67" t="str">
        <f>'натур показатели патриотика'!D208</f>
        <v>шт</v>
      </c>
      <c r="E171" s="169">
        <f>'таланты+инициативы0,262'!D260</f>
        <v>0.52400000000000002</v>
      </c>
    </row>
    <row r="172" spans="1:5" ht="12" customHeight="1" x14ac:dyDescent="0.25">
      <c r="A172" s="713"/>
      <c r="B172" s="714"/>
      <c r="C172" s="429" t="str">
        <f>'таланты+инициативы0,262'!A261</f>
        <v>Брусок 50*50мм (3м)</v>
      </c>
      <c r="D172" s="67" t="str">
        <f>'натур показатели патриотика'!D209</f>
        <v>шт</v>
      </c>
      <c r="E172" s="169">
        <f>'таланты+инициативы0,262'!D261</f>
        <v>5.24</v>
      </c>
    </row>
    <row r="173" spans="1:5" ht="12" customHeight="1" x14ac:dyDescent="0.25">
      <c r="A173" s="713"/>
      <c r="B173" s="714"/>
      <c r="C173" s="429" t="str">
        <f>'таланты+инициативы0,262'!A262</f>
        <v>Фанера березовая 6мм 1525*1525мм ФК сорт 4/4 нш</v>
      </c>
      <c r="D173" s="67" t="str">
        <f>'натур показатели патриотика'!D210</f>
        <v>шт</v>
      </c>
      <c r="E173" s="169">
        <f>'таланты+инициативы0,262'!D262</f>
        <v>1.5720000000000001</v>
      </c>
    </row>
    <row r="174" spans="1:5" ht="12" customHeight="1" x14ac:dyDescent="0.25">
      <c r="A174" s="713"/>
      <c r="B174" s="714"/>
      <c r="C174" s="429" t="str">
        <f>'таланты+инициативы0,262'!A263</f>
        <v>Фанера березовая 8мм 1525*1525мм ФК сорт 4/4 нш</v>
      </c>
      <c r="D174" s="67" t="str">
        <f>'натур показатели патриотика'!D211</f>
        <v>шт</v>
      </c>
      <c r="E174" s="169">
        <f>'таланты+инициативы0,262'!D263</f>
        <v>0.52400000000000002</v>
      </c>
    </row>
    <row r="175" spans="1:5" ht="12" customHeight="1" x14ac:dyDescent="0.25">
      <c r="A175" s="713"/>
      <c r="B175" s="714"/>
      <c r="C175" s="429" t="str">
        <f>'таланты+инициативы0,262'!A264</f>
        <v>Эмаль акр.для радиаторов отопления 1кг полуглянцевая (6) OLECOLOR</v>
      </c>
      <c r="D175" s="67" t="str">
        <f>'натур показатели патриотика'!D212</f>
        <v>шт</v>
      </c>
      <c r="E175" s="169">
        <f>'таланты+инициативы0,262'!D264</f>
        <v>0.52400000000000002</v>
      </c>
    </row>
    <row r="176" spans="1:5" ht="12" customHeight="1" x14ac:dyDescent="0.25">
      <c r="A176" s="713"/>
      <c r="B176" s="714"/>
      <c r="C176" s="429" t="str">
        <f>'таланты+инициативы0,262'!A265</f>
        <v>Лопата снеговая деревянная, 50*50см, с усиленной планкой, "Баба Яга"/1/</v>
      </c>
      <c r="D176" s="67" t="str">
        <f>'натур показатели патриотика'!D213</f>
        <v>шт</v>
      </c>
      <c r="E176" s="169">
        <f>'таланты+инициативы0,262'!D265</f>
        <v>0.26200000000000001</v>
      </c>
    </row>
    <row r="177" spans="1:5" ht="12" customHeight="1" x14ac:dyDescent="0.25">
      <c r="A177" s="713"/>
      <c r="B177" s="714"/>
      <c r="C177" s="429" t="str">
        <f>'таланты+инициативы0,262'!A266</f>
        <v>Лопата пласт 380*380мм, с алюминевой планкой, с алюмин.черенком и Д-образной ручкой (5) ЛА-06</v>
      </c>
      <c r="D177" s="67" t="str">
        <f>'натур показатели патриотика'!D214</f>
        <v>шт</v>
      </c>
      <c r="E177" s="169">
        <f>'таланты+инициативы0,262'!D266</f>
        <v>0.26200000000000001</v>
      </c>
    </row>
    <row r="178" spans="1:5" ht="12" customHeight="1" x14ac:dyDescent="0.25">
      <c r="A178" s="713"/>
      <c r="B178" s="714"/>
      <c r="C178" s="429" t="str">
        <f>'таланты+инициативы0,262'!A267</f>
        <v>Коробка распаячная КМР-030-031 с крышкой 8*80*50мм IP 54 EKF, серая /100/</v>
      </c>
      <c r="D178" s="67" t="str">
        <f>'натур показатели патриотика'!D215</f>
        <v>шт</v>
      </c>
      <c r="E178" s="169">
        <f>'таланты+инициативы0,262'!D267</f>
        <v>0.52400000000000002</v>
      </c>
    </row>
    <row r="179" spans="1:5" ht="12" customHeight="1" x14ac:dyDescent="0.25">
      <c r="A179" s="713"/>
      <c r="B179" s="714"/>
      <c r="C179" s="429" t="str">
        <f>'таланты+инициативы0,262'!A268</f>
        <v>Розетка "Пралеска"   2РА16-303 брызгозащищенная з/к /30/</v>
      </c>
      <c r="D179" s="67" t="str">
        <f>'натур показатели патриотика'!D216</f>
        <v>шт</v>
      </c>
      <c r="E179" s="169">
        <f>'таланты+инициативы0,262'!D268</f>
        <v>0.26200000000000001</v>
      </c>
    </row>
    <row r="180" spans="1:5" ht="12" customHeight="1" x14ac:dyDescent="0.25">
      <c r="A180" s="713"/>
      <c r="B180" s="714"/>
      <c r="C180" s="429" t="str">
        <f>'таланты+инициативы0,262'!A269</f>
        <v>Провод ВВГ 3*2,5</v>
      </c>
      <c r="D180" s="67" t="str">
        <f>'натур показатели патриотика'!D217</f>
        <v>шт</v>
      </c>
      <c r="E180" s="169">
        <f>'таланты+инициативы0,262'!D269</f>
        <v>2.62</v>
      </c>
    </row>
    <row r="181" spans="1:5" ht="12" customHeight="1" x14ac:dyDescent="0.25">
      <c r="A181" s="713"/>
      <c r="B181" s="714"/>
      <c r="C181" s="429" t="str">
        <f>'таланты+инициативы0,262'!A270</f>
        <v>Щиток защитный TUNDRA корпус пластик 4588909</v>
      </c>
      <c r="D181" s="67" t="str">
        <f>'натур показатели патриотика'!D218</f>
        <v>шт</v>
      </c>
      <c r="E181" s="169">
        <f>'таланты+инициативы0,262'!D270</f>
        <v>0.52400000000000002</v>
      </c>
    </row>
    <row r="182" spans="1:5" ht="12" customHeight="1" x14ac:dyDescent="0.25">
      <c r="A182" s="713"/>
      <c r="B182" s="714"/>
      <c r="C182" s="429" t="str">
        <f>'таланты+инициативы0,262'!A271</f>
        <v>Щиток защитный СИБИН с экраном из поликарбоната</v>
      </c>
      <c r="D182" s="67" t="str">
        <f>'натур показатели патриотика'!D219</f>
        <v>шт</v>
      </c>
      <c r="E182" s="169">
        <f>'таланты+инициативы0,262'!D271</f>
        <v>0.26200000000000001</v>
      </c>
    </row>
    <row r="183" spans="1:5" ht="12" customHeight="1" x14ac:dyDescent="0.25">
      <c r="A183" s="713"/>
      <c r="B183" s="714"/>
      <c r="C183" s="429" t="str">
        <f>'таланты+инициативы0,262'!A272</f>
        <v>Замок навесной  Чебоксары ВС-2 М1-02 /20/</v>
      </c>
      <c r="D183" s="67" t="str">
        <f>'натур показатели патриотика'!D220</f>
        <v>шт</v>
      </c>
      <c r="E183" s="169">
        <f>'таланты+инициативы0,262'!D272</f>
        <v>0.26200000000000001</v>
      </c>
    </row>
    <row r="184" spans="1:5" ht="12" customHeight="1" x14ac:dyDescent="0.25">
      <c r="A184" s="713"/>
      <c r="B184" s="714"/>
      <c r="C184" s="429" t="str">
        <f>'таланты+инициативы0,262'!A273</f>
        <v>Фанера 10 мм (1525х1525) водостойкая , сорт 4/4 , н/ш (2,325 м2)</v>
      </c>
      <c r="D184" s="67" t="str">
        <f>'натур показатели патриотика'!D221</f>
        <v>шт</v>
      </c>
      <c r="E184" s="169">
        <f>'таланты+инициативы0,262'!D273</f>
        <v>0.52400000000000002</v>
      </c>
    </row>
    <row r="185" spans="1:5" ht="12" customHeight="1" x14ac:dyDescent="0.25">
      <c r="A185" s="713"/>
      <c r="B185" s="714"/>
      <c r="C185" s="429" t="str">
        <f>'таланты+инициативы0,262'!A274</f>
        <v>Гайка шестигранная цинк DIN 934 М10 (300шт.)</v>
      </c>
      <c r="D185" s="67" t="str">
        <f>'натур показатели патриотика'!D222</f>
        <v>шт</v>
      </c>
      <c r="E185" s="169">
        <f>'таланты+инициативы0,262'!D274</f>
        <v>2.0960000000000001</v>
      </c>
    </row>
    <row r="186" spans="1:5" ht="12" customHeight="1" x14ac:dyDescent="0.25">
      <c r="A186" s="713"/>
      <c r="B186" s="714"/>
      <c r="C186" s="429" t="str">
        <f>'таланты+инициативы0,262'!A275</f>
        <v>Шайба плоская узкая цинк DIN 125 М12 (500шт.)</v>
      </c>
      <c r="D186" s="67" t="str">
        <f>'натур показатели патриотика'!D223</f>
        <v>шт</v>
      </c>
      <c r="E186" s="169">
        <f>'таланты+инициативы0,262'!D275</f>
        <v>2.0960000000000001</v>
      </c>
    </row>
    <row r="187" spans="1:5" ht="12" customHeight="1" x14ac:dyDescent="0.25">
      <c r="A187" s="713"/>
      <c r="B187" s="714"/>
      <c r="C187" s="429" t="str">
        <f>'таланты+инициативы0,262'!A276</f>
        <v>Шайба пружинная гроверная цинк DIN 127 М12 (500шт.)</v>
      </c>
      <c r="D187" s="67" t="str">
        <f>'натур показатели патриотика'!D224</f>
        <v>шт</v>
      </c>
      <c r="E187" s="169">
        <f>'таланты+инициативы0,262'!D276</f>
        <v>2.0960000000000001</v>
      </c>
    </row>
    <row r="188" spans="1:5" ht="12" customHeight="1" x14ac:dyDescent="0.25">
      <c r="A188" s="713"/>
      <c r="B188" s="714"/>
      <c r="C188" s="429" t="str">
        <f>'таланты+инициативы0,262'!A277</f>
        <v>Дюбель усиленный 5х40 + саморез головка потай желтый цинк 3,5х45 (20шт)</v>
      </c>
      <c r="D188" s="67" t="str">
        <f>'натур показатели патриотика'!D225</f>
        <v>шт</v>
      </c>
      <c r="E188" s="169">
        <f>'таланты+инициативы0,262'!D277</f>
        <v>0.26200000000000001</v>
      </c>
    </row>
    <row r="189" spans="1:5" ht="12" customHeight="1" x14ac:dyDescent="0.25">
      <c r="A189" s="713"/>
      <c r="B189" s="714"/>
      <c r="C189" s="429" t="str">
        <f>'таланты+инициативы0,262'!A278</f>
        <v>Дюбель усиленный 6х25 + саморез головка потай желтый цинк 4,0х30 (20шт)</v>
      </c>
      <c r="D189" s="67" t="str">
        <f>'натур показатели патриотика'!D226</f>
        <v>шт</v>
      </c>
      <c r="E189" s="169">
        <f>'таланты+инициативы0,262'!D278</f>
        <v>0.26200000000000001</v>
      </c>
    </row>
    <row r="190" spans="1:5" ht="12" customHeight="1" x14ac:dyDescent="0.25">
      <c r="A190" s="713"/>
      <c r="B190" s="714"/>
      <c r="C190" s="429" t="str">
        <f>'таланты+инициативы0,262'!A279</f>
        <v>Дюбель усиленный 5х30 + саморез головка потай желтый цинк 3,0х35 (24шт)</v>
      </c>
      <c r="D190" s="67" t="str">
        <f>'натур показатели патриотика'!D227</f>
        <v>шт</v>
      </c>
      <c r="E190" s="169">
        <f>'таланты+инициативы0,262'!D279</f>
        <v>0.26200000000000001</v>
      </c>
    </row>
    <row r="191" spans="1:5" ht="12" customHeight="1" x14ac:dyDescent="0.25">
      <c r="A191" s="713"/>
      <c r="B191" s="714"/>
      <c r="C191" s="429" t="str">
        <f>'таланты+инициативы0,262'!A280</f>
        <v>Кабель-канал ПВХ 12*12 (100) SQ0408-0501</v>
      </c>
      <c r="D191" s="67" t="str">
        <f>'натур показатели патриотика'!D228</f>
        <v>шт</v>
      </c>
      <c r="E191" s="169">
        <f>'таланты+инициативы0,262'!D280</f>
        <v>0.26200000000000001</v>
      </c>
    </row>
    <row r="192" spans="1:5" ht="12" customHeight="1" x14ac:dyDescent="0.25">
      <c r="A192" s="713"/>
      <c r="B192" s="714"/>
      <c r="C192" s="429" t="str">
        <f>'таланты+инициативы0,262'!A281</f>
        <v>Кабель-канал ПВХ 20*10 (80) SQ0408-0503</v>
      </c>
      <c r="D192" s="67" t="str">
        <f>'натур показатели патриотика'!D229</f>
        <v>шт</v>
      </c>
      <c r="E192" s="169">
        <f>'таланты+инициативы0,262'!D281</f>
        <v>0.26200000000000001</v>
      </c>
    </row>
    <row r="193" spans="1:5" ht="12" customHeight="1" x14ac:dyDescent="0.25">
      <c r="A193" s="713"/>
      <c r="B193" s="714"/>
      <c r="C193" s="429" t="str">
        <f>'таланты+инициативы0,262'!A282</f>
        <v>Хомут  червячный "MGF" 16-27мм /50/</v>
      </c>
      <c r="D193" s="67" t="str">
        <f>'натур показатели патриотика'!D230</f>
        <v>шт</v>
      </c>
      <c r="E193" s="169">
        <f>'таланты+инициативы0,262'!D282</f>
        <v>0.52400000000000002</v>
      </c>
    </row>
    <row r="194" spans="1:5" ht="12" customHeight="1" x14ac:dyDescent="0.25">
      <c r="A194" s="713"/>
      <c r="B194" s="714"/>
      <c r="C194" s="429" t="str">
        <f>'таланты+инициативы0,262'!A283</f>
        <v>Переходник (штуцер) LEXLINE на р/шл 1/2 нар-20, латунь /10/</v>
      </c>
      <c r="D194" s="67" t="str">
        <f>'натур показатели патриотика'!D231</f>
        <v>шт</v>
      </c>
      <c r="E194" s="169">
        <f>'таланты+инициативы0,262'!D283</f>
        <v>0.26200000000000001</v>
      </c>
    </row>
    <row r="195" spans="1:5" ht="12" customHeight="1" x14ac:dyDescent="0.25">
      <c r="A195" s="713"/>
      <c r="B195" s="714"/>
      <c r="C195" s="429" t="str">
        <f>'таланты+инициативы0,262'!A284</f>
        <v>Флянец хвостовика</v>
      </c>
      <c r="D195" s="67" t="str">
        <f>'натур показатели патриотика'!D232</f>
        <v>шт</v>
      </c>
      <c r="E195" s="169">
        <f>'таланты+инициативы0,262'!D284</f>
        <v>0.52400000000000002</v>
      </c>
    </row>
    <row r="196" spans="1:5" ht="12" customHeight="1" x14ac:dyDescent="0.25">
      <c r="A196" s="713"/>
      <c r="B196" s="714"/>
      <c r="C196" s="429" t="str">
        <f>'таланты+инициативы0,262'!A285</f>
        <v>Датчик коленвала</v>
      </c>
      <c r="D196" s="67" t="str">
        <f>'натур показатели патриотика'!D233</f>
        <v>шт</v>
      </c>
      <c r="E196" s="169">
        <f>'таланты+инициативы0,262'!D285</f>
        <v>0.26200000000000001</v>
      </c>
    </row>
    <row r="197" spans="1:5" ht="12" customHeight="1" x14ac:dyDescent="0.25">
      <c r="A197" s="713"/>
      <c r="B197" s="714"/>
      <c r="C197" s="429" t="str">
        <f>'таланты+инициативы0,262'!A286</f>
        <v>пусковые провода</v>
      </c>
      <c r="D197" s="67" t="str">
        <f>'натур показатели патриотика'!D234</f>
        <v>шт</v>
      </c>
      <c r="E197" s="169">
        <f>'таланты+инициативы0,262'!D286</f>
        <v>0.26200000000000001</v>
      </c>
    </row>
    <row r="198" spans="1:5" ht="12" customHeight="1" x14ac:dyDescent="0.25">
      <c r="A198" s="713"/>
      <c r="B198" s="714"/>
      <c r="C198" s="429" t="str">
        <f>'таланты+инициативы0,262'!A287</f>
        <v>маска медицинская</v>
      </c>
      <c r="D198" s="67" t="str">
        <f>'натур показатели патриотика'!D235</f>
        <v>шт</v>
      </c>
      <c r="E198" s="169">
        <f>'таланты+инициативы0,262'!D287</f>
        <v>1572</v>
      </c>
    </row>
    <row r="199" spans="1:5" ht="12" customHeight="1" x14ac:dyDescent="0.25">
      <c r="A199" s="713"/>
      <c r="B199" s="714"/>
      <c r="C199" s="429" t="str">
        <f>'таланты+инициативы0,262'!A288</f>
        <v>Бумага10*15 глянец 180 гр</v>
      </c>
      <c r="D199" s="67" t="str">
        <f>'натур показатели патриотика'!D236</f>
        <v>шт</v>
      </c>
      <c r="E199" s="169">
        <f>'таланты+инициативы0,262'!D288</f>
        <v>1.048</v>
      </c>
    </row>
    <row r="200" spans="1:5" ht="12" customHeight="1" x14ac:dyDescent="0.25">
      <c r="A200" s="713"/>
      <c r="B200" s="714"/>
      <c r="C200" s="429" t="str">
        <f>'таланты+инициативы0,262'!A289</f>
        <v>Бумага А4</v>
      </c>
      <c r="D200" s="67" t="str">
        <f>'натур показатели патриотика'!D237</f>
        <v>шт</v>
      </c>
      <c r="E200" s="169">
        <f>'таланты+инициативы0,262'!D289</f>
        <v>17.03</v>
      </c>
    </row>
    <row r="201" spans="1:5" ht="12" customHeight="1" x14ac:dyDescent="0.25">
      <c r="A201" s="713"/>
      <c r="B201" s="714"/>
      <c r="C201" s="429" t="str">
        <f>'таланты+инициативы0,262'!A290</f>
        <v>планшет</v>
      </c>
      <c r="D201" s="67" t="str">
        <f>'натур показатели патриотика'!D238</f>
        <v>шт</v>
      </c>
      <c r="E201" s="169">
        <f>'таланты+инициативы0,262'!D290</f>
        <v>2.62</v>
      </c>
    </row>
    <row r="202" spans="1:5" ht="12" customHeight="1" x14ac:dyDescent="0.25">
      <c r="A202" s="713"/>
      <c r="B202" s="714"/>
      <c r="C202" s="429" t="str">
        <f>'таланты+инициативы0,262'!A291</f>
        <v>Бумага А4 цвет</v>
      </c>
      <c r="D202" s="67" t="str">
        <f>'натур показатели патриотика'!D239</f>
        <v>шт</v>
      </c>
      <c r="E202" s="169">
        <f>'таланты+инициативы0,262'!D291</f>
        <v>1.31</v>
      </c>
    </row>
    <row r="203" spans="1:5" ht="12" customHeight="1" x14ac:dyDescent="0.25">
      <c r="A203" s="713"/>
      <c r="B203" s="714"/>
      <c r="C203" s="429" t="str">
        <f>'таланты+инициативы0,262'!A292</f>
        <v>Бумага 10*15 матовая</v>
      </c>
      <c r="D203" s="67" t="str">
        <f>'натур показатели патриотика'!D240</f>
        <v>шт</v>
      </c>
      <c r="E203" s="169">
        <f>'таланты+инициативы0,262'!D292</f>
        <v>1.048</v>
      </c>
    </row>
    <row r="204" spans="1:5" ht="12" customHeight="1" x14ac:dyDescent="0.25">
      <c r="A204" s="713"/>
      <c r="B204" s="714"/>
      <c r="C204" s="429" t="str">
        <f>'таланты+инициативы0,262'!A293</f>
        <v>Бумага 10*15 глянец 230 гр</v>
      </c>
      <c r="D204" s="67" t="str">
        <f>'натур показатели патриотика'!D241</f>
        <v>шт</v>
      </c>
      <c r="E204" s="169">
        <f>'таланты+инициативы0,262'!D293</f>
        <v>1.048</v>
      </c>
    </row>
    <row r="205" spans="1:5" ht="12" customHeight="1" x14ac:dyDescent="0.25">
      <c r="A205" s="713"/>
      <c r="B205" s="714"/>
      <c r="C205" s="429" t="str">
        <f>'таланты+инициативы0,262'!A294</f>
        <v>Бумага А4 глянец 230 гр</v>
      </c>
      <c r="D205" s="67" t="str">
        <f>'натур показатели патриотика'!D242</f>
        <v>шт</v>
      </c>
      <c r="E205" s="169">
        <f>'таланты+инициативы0,262'!D294</f>
        <v>2.62</v>
      </c>
    </row>
    <row r="206" spans="1:5" ht="12" customHeight="1" x14ac:dyDescent="0.25">
      <c r="A206" s="713"/>
      <c r="B206" s="714"/>
      <c r="C206" s="429" t="str">
        <f>'таланты+инициативы0,262'!A295</f>
        <v>Бумага А4 матовая 160 гр</v>
      </c>
      <c r="D206" s="67" t="str">
        <f>'натур показатели патриотика'!D243</f>
        <v>шт</v>
      </c>
      <c r="E206" s="169">
        <f>'таланты+инициативы0,262'!D295</f>
        <v>2.62</v>
      </c>
    </row>
    <row r="207" spans="1:5" ht="12" customHeight="1" x14ac:dyDescent="0.25">
      <c r="A207" s="713"/>
      <c r="B207" s="714"/>
      <c r="C207" s="429" t="str">
        <f>'таланты+инициативы0,262'!A296</f>
        <v>Бумага А4 матовая 230 гр</v>
      </c>
      <c r="D207" s="67" t="str">
        <f>'натур показатели патриотика'!D244</f>
        <v>шт</v>
      </c>
      <c r="E207" s="169">
        <f>'таланты+инициативы0,262'!D296</f>
        <v>2.62</v>
      </c>
    </row>
    <row r="208" spans="1:5" ht="12" customHeight="1" x14ac:dyDescent="0.25">
      <c r="A208" s="713"/>
      <c r="B208" s="714"/>
      <c r="C208" s="429" t="str">
        <f>'таланты+инициативы0,262'!A297</f>
        <v>Бумага А4 глянец 240 гр</v>
      </c>
      <c r="D208" s="67" t="str">
        <f>'натур показатели патриотика'!D245</f>
        <v>шт</v>
      </c>
      <c r="E208" s="169">
        <f>'таланты+инициативы0,262'!D297</f>
        <v>2.62</v>
      </c>
    </row>
    <row r="209" spans="1:5" ht="12" customHeight="1" x14ac:dyDescent="0.25">
      <c r="A209" s="713"/>
      <c r="B209" s="714"/>
      <c r="C209" s="429" t="str">
        <f>'таланты+инициативы0,262'!A298</f>
        <v>скотч 72*56</v>
      </c>
      <c r="D209" s="67" t="str">
        <f>'натур показатели патриотика'!D246</f>
        <v>шт</v>
      </c>
      <c r="E209" s="169">
        <f>'таланты+инициативы0,262'!D298</f>
        <v>5.24</v>
      </c>
    </row>
    <row r="210" spans="1:5" ht="12" customHeight="1" x14ac:dyDescent="0.25">
      <c r="A210" s="713"/>
      <c r="B210" s="714"/>
      <c r="C210" s="429" t="str">
        <f>'таланты+инициативы0,262'!A299</f>
        <v>скотч 48*100</v>
      </c>
      <c r="D210" s="67" t="str">
        <f>'натур показатели патриотика'!D247</f>
        <v>шт</v>
      </c>
      <c r="E210" s="169">
        <f>'таланты+инициативы0,262'!D299</f>
        <v>5.24</v>
      </c>
    </row>
    <row r="211" spans="1:5" ht="12" customHeight="1" x14ac:dyDescent="0.25">
      <c r="A211" s="713"/>
      <c r="B211" s="714"/>
      <c r="C211" s="429" t="str">
        <f>'таланты+инициативы0,262'!A300</f>
        <v>блок самоклей</v>
      </c>
      <c r="D211" s="67" t="str">
        <f>'натур показатели патриотика'!D248</f>
        <v>шт</v>
      </c>
      <c r="E211" s="169">
        <f>'таланты+инициативы0,262'!D300</f>
        <v>1.31</v>
      </c>
    </row>
    <row r="212" spans="1:5" ht="12" customHeight="1" x14ac:dyDescent="0.25">
      <c r="A212" s="713"/>
      <c r="B212" s="714"/>
      <c r="C212" s="429" t="str">
        <f>'таланты+инициативы0,262'!A301</f>
        <v>папка-регистратор</v>
      </c>
      <c r="D212" s="67" t="str">
        <f>'натур показатели патриотика'!D249</f>
        <v>шт</v>
      </c>
      <c r="E212" s="169">
        <f>'таланты+инициативы0,262'!D301</f>
        <v>10.48</v>
      </c>
    </row>
    <row r="213" spans="1:5" ht="12" customHeight="1" x14ac:dyDescent="0.25">
      <c r="A213" s="713"/>
      <c r="B213" s="714"/>
      <c r="C213" s="429" t="str">
        <f>'таланты+инициативы0,262'!A302</f>
        <v>картон белый</v>
      </c>
      <c r="D213" s="67" t="str">
        <f>'натур показатели патриотика'!D250</f>
        <v>шт</v>
      </c>
      <c r="E213" s="169">
        <f>'таланты+инициативы0,262'!D302</f>
        <v>2.62</v>
      </c>
    </row>
    <row r="214" spans="1:5" ht="12" customHeight="1" x14ac:dyDescent="0.25">
      <c r="A214" s="713"/>
      <c r="B214" s="714"/>
      <c r="C214" s="429" t="str">
        <f>'таланты+инициативы0,262'!A303</f>
        <v>пружина 51 мм</v>
      </c>
      <c r="D214" s="67" t="str">
        <f>'натур показатели патриотика'!D251</f>
        <v>шт</v>
      </c>
      <c r="E214" s="169">
        <f>'таланты+инициативы0,262'!D303</f>
        <v>5.24</v>
      </c>
    </row>
    <row r="215" spans="1:5" ht="12" customHeight="1" x14ac:dyDescent="0.25">
      <c r="A215" s="713"/>
      <c r="B215" s="714"/>
      <c r="C215" s="429" t="str">
        <f>'таланты+инициативы0,262'!A304</f>
        <v>скотч 15 мм</v>
      </c>
      <c r="D215" s="67" t="str">
        <f>'натур показатели патриотика'!D252</f>
        <v>шт</v>
      </c>
      <c r="E215" s="169">
        <f>'таланты+инициативы0,262'!D304</f>
        <v>13.100000000000001</v>
      </c>
    </row>
    <row r="216" spans="1:5" ht="12" customHeight="1" x14ac:dyDescent="0.25">
      <c r="A216" s="713"/>
      <c r="B216" s="714"/>
      <c r="C216" s="429" t="str">
        <f>'таланты+инициативы0,262'!A305</f>
        <v>бейдж</v>
      </c>
      <c r="D216" s="67" t="str">
        <f>'натур показатели патриотика'!D253</f>
        <v>шт</v>
      </c>
      <c r="E216" s="169">
        <f>'таланты+инициативы0,262'!D305</f>
        <v>5.24</v>
      </c>
    </row>
    <row r="217" spans="1:5" ht="12" customHeight="1" x14ac:dyDescent="0.25">
      <c r="A217" s="713"/>
      <c r="B217" s="714"/>
      <c r="C217" s="429" t="str">
        <f>'таланты+инициативы0,262'!A306</f>
        <v>шнурок для бейджа</v>
      </c>
      <c r="D217" s="67" t="str">
        <f>'натур показатели патриотика'!D254</f>
        <v>шт</v>
      </c>
      <c r="E217" s="169">
        <f>'таланты+инициативы0,262'!D306</f>
        <v>5.24</v>
      </c>
    </row>
    <row r="218" spans="1:5" ht="12" customHeight="1" x14ac:dyDescent="0.25">
      <c r="A218" s="713"/>
      <c r="B218" s="714"/>
      <c r="C218" s="429" t="str">
        <f>'таланты+инициативы0,262'!A307</f>
        <v>блокнот для флипчарта</v>
      </c>
      <c r="D218" s="67" t="str">
        <f>'натур показатели патриотика'!D255</f>
        <v>шт</v>
      </c>
      <c r="E218" s="169">
        <f>'таланты+инициативы0,262'!D307</f>
        <v>1.31</v>
      </c>
    </row>
    <row r="219" spans="1:5" ht="12" customHeight="1" x14ac:dyDescent="0.25">
      <c r="A219" s="713"/>
      <c r="B219" s="714"/>
      <c r="C219" s="429" t="str">
        <f>'таланты+инициативы0,262'!A308</f>
        <v>бумага писчая</v>
      </c>
      <c r="D219" s="67" t="str">
        <f>'натур показатели патриотика'!D256</f>
        <v>шт</v>
      </c>
      <c r="E219" s="169">
        <f>'таланты+инициативы0,262'!D308</f>
        <v>2.62</v>
      </c>
    </row>
    <row r="220" spans="1:5" ht="12" customHeight="1" x14ac:dyDescent="0.25">
      <c r="A220" s="713"/>
      <c r="B220" s="714"/>
      <c r="C220" s="429" t="str">
        <f>'таланты+инициативы0,262'!A309</f>
        <v>фоторамка дерево</v>
      </c>
      <c r="D220" s="67" t="str">
        <f>'натур показатели патриотика'!D257</f>
        <v>шт</v>
      </c>
      <c r="E220" s="169">
        <f>'таланты+инициативы0,262'!D309</f>
        <v>26.200000000000003</v>
      </c>
    </row>
    <row r="221" spans="1:5" ht="12" customHeight="1" x14ac:dyDescent="0.25">
      <c r="A221" s="713"/>
      <c r="B221" s="714"/>
      <c r="C221" s="429" t="str">
        <f>'таланты+инициативы0,262'!A310</f>
        <v>фоторамка пластик</v>
      </c>
      <c r="D221" s="67" t="str">
        <f>'натур показатели патриотика'!D258</f>
        <v>шт</v>
      </c>
      <c r="E221" s="169">
        <f>'таланты+инициативы0,262'!D310</f>
        <v>19.650000000000002</v>
      </c>
    </row>
    <row r="222" spans="1:5" ht="12" customHeight="1" x14ac:dyDescent="0.25">
      <c r="A222" s="713"/>
      <c r="B222" s="714"/>
      <c r="C222" s="429" t="str">
        <f>'таланты+инициативы0,262'!A311</f>
        <v>фоторамка пластик</v>
      </c>
      <c r="D222" s="67" t="str">
        <f>'натур показатели патриотика'!D259</f>
        <v>шт</v>
      </c>
      <c r="E222" s="169">
        <f>'таланты+инициативы0,262'!D311</f>
        <v>19.650000000000002</v>
      </c>
    </row>
    <row r="223" spans="1:5" ht="12" customHeight="1" x14ac:dyDescent="0.25">
      <c r="A223" s="713"/>
      <c r="B223" s="714"/>
      <c r="C223" s="429" t="str">
        <f>'таланты+инициативы0,262'!A312</f>
        <v>батарейка ААА 24 шт /уп</v>
      </c>
      <c r="D223" s="67" t="str">
        <f>'натур показатели патриотика'!D260</f>
        <v>шт</v>
      </c>
      <c r="E223" s="169">
        <f>'таланты+инициативы0,262'!D312</f>
        <v>0.78600000000000003</v>
      </c>
    </row>
    <row r="224" spans="1:5" x14ac:dyDescent="0.25">
      <c r="A224" s="713"/>
      <c r="B224" s="714"/>
      <c r="C224" s="429" t="str">
        <f>'таланты+инициативы0,262'!A313</f>
        <v>батарейка ААА 12 шт /уп</v>
      </c>
      <c r="D224" s="67" t="str">
        <f>'натур показатели патриотика'!D261</f>
        <v>шт</v>
      </c>
      <c r="E224" s="169">
        <f>'таланты+инициативы0,262'!D313</f>
        <v>0.52400000000000002</v>
      </c>
    </row>
    <row r="225" spans="1:5" x14ac:dyDescent="0.25">
      <c r="A225" s="713"/>
      <c r="B225" s="714"/>
      <c r="C225" s="429" t="str">
        <f>'таланты+инициативы0,262'!A314</f>
        <v>батарейка АА 24 шт /уп</v>
      </c>
      <c r="D225" s="67" t="str">
        <f>'натур показатели патриотика'!D262</f>
        <v>шт</v>
      </c>
      <c r="E225" s="169">
        <f>'таланты+инициативы0,262'!D314</f>
        <v>0.52400000000000002</v>
      </c>
    </row>
    <row r="226" spans="1:5" x14ac:dyDescent="0.25">
      <c r="A226" s="713"/>
      <c r="B226" s="714"/>
      <c r="C226" s="429" t="str">
        <f>'таланты+инициативы0,262'!A315</f>
        <v>батарейка АА 18 шт /уп</v>
      </c>
      <c r="D226" s="67" t="str">
        <f>'натур показатели патриотика'!D263</f>
        <v>шт</v>
      </c>
      <c r="E226" s="169">
        <f>'таланты+инициативы0,262'!D315</f>
        <v>0.78600000000000003</v>
      </c>
    </row>
    <row r="227" spans="1:5" x14ac:dyDescent="0.25">
      <c r="A227" s="713"/>
      <c r="B227" s="714"/>
      <c r="C227" s="429" t="str">
        <f>'таланты+инициативы0,262'!A316</f>
        <v xml:space="preserve">вилка </v>
      </c>
      <c r="D227" s="67" t="str">
        <f>'натур показатели патриотика'!D264</f>
        <v>шт</v>
      </c>
      <c r="E227" s="169">
        <f>'таланты+инициативы0,262'!D316</f>
        <v>0.78600000000000003</v>
      </c>
    </row>
    <row r="228" spans="1:5" x14ac:dyDescent="0.25">
      <c r="A228" s="713"/>
      <c r="B228" s="714"/>
      <c r="C228" s="429" t="str">
        <f>'таланты+инициативы0,262'!A317</f>
        <v>четверник</v>
      </c>
      <c r="D228" s="67" t="str">
        <f>'натур показатели патриотика'!D265</f>
        <v>шт</v>
      </c>
      <c r="E228" s="169">
        <f>'таланты+инициативы0,262'!D317</f>
        <v>0.26200000000000001</v>
      </c>
    </row>
    <row r="229" spans="1:5" x14ac:dyDescent="0.25">
      <c r="A229" s="713"/>
      <c r="B229" s="714"/>
      <c r="C229" s="429" t="str">
        <f>'таланты+инициативы0,262'!A318</f>
        <v>четверник</v>
      </c>
      <c r="D229" s="67" t="str">
        <f>'натур показатели патриотика'!D266</f>
        <v>шт</v>
      </c>
      <c r="E229" s="169">
        <f>'таланты+инициативы0,262'!D318</f>
        <v>0.26200000000000001</v>
      </c>
    </row>
    <row r="230" spans="1:5" x14ac:dyDescent="0.25">
      <c r="A230" s="713"/>
      <c r="B230" s="714"/>
      <c r="C230" s="429" t="str">
        <f>'таланты+инициативы0,262'!A319</f>
        <v>пугнп</v>
      </c>
      <c r="D230" s="67" t="str">
        <f>'натур показатели патриотика'!D267</f>
        <v>шт</v>
      </c>
      <c r="E230" s="169">
        <f>'таланты+инициативы0,262'!D319</f>
        <v>8.3840000000000003</v>
      </c>
    </row>
    <row r="231" spans="1:5" x14ac:dyDescent="0.25">
      <c r="A231" s="713"/>
      <c r="B231" s="714"/>
      <c r="C231" s="429" t="str">
        <f>'таланты+инициативы0,262'!A320</f>
        <v>лампа накаливания</v>
      </c>
      <c r="D231" s="67" t="str">
        <f>'натур показатели патриотика'!D268</f>
        <v>шт</v>
      </c>
      <c r="E231" s="169">
        <f>'таланты+инициативы0,262'!D320</f>
        <v>1.8340000000000001</v>
      </c>
    </row>
    <row r="232" spans="1:5" x14ac:dyDescent="0.25">
      <c r="A232" s="713"/>
      <c r="B232" s="714"/>
      <c r="C232" s="429" t="str">
        <f>'таланты+инициативы0,262'!A321</f>
        <v>ключ трубный</v>
      </c>
      <c r="D232" s="67" t="str">
        <f>'натур показатели патриотика'!D269</f>
        <v>шт</v>
      </c>
      <c r="E232" s="169">
        <f>'таланты+инициативы0,262'!D321</f>
        <v>0.26200000000000001</v>
      </c>
    </row>
    <row r="233" spans="1:5" x14ac:dyDescent="0.25">
      <c r="A233" s="713"/>
      <c r="B233" s="714"/>
      <c r="C233" s="429" t="str">
        <f>'таланты+инициативы0,262'!A322</f>
        <v>лента фум</v>
      </c>
      <c r="D233" s="67" t="str">
        <f>'натур показатели патриотика'!D270</f>
        <v>шт</v>
      </c>
      <c r="E233" s="169">
        <f>'таланты+инициативы0,262'!D322</f>
        <v>0.26200000000000001</v>
      </c>
    </row>
    <row r="234" spans="1:5" x14ac:dyDescent="0.25">
      <c r="A234" s="713"/>
      <c r="B234" s="714"/>
      <c r="C234" s="429" t="str">
        <f>'таланты+инициативы0,262'!A323</f>
        <v>защелка замка</v>
      </c>
      <c r="D234" s="67" t="str">
        <f>'натур показатели патриотика'!D271</f>
        <v>шт</v>
      </c>
      <c r="E234" s="169">
        <f>'таланты+инициативы0,262'!D323</f>
        <v>0.26200000000000001</v>
      </c>
    </row>
    <row r="235" spans="1:5" x14ac:dyDescent="0.25">
      <c r="A235" s="713"/>
      <c r="B235" s="714"/>
      <c r="C235" s="429" t="str">
        <f>'таланты+инициативы0,262'!A324</f>
        <v>стержни клеевые по керамике</v>
      </c>
      <c r="D235" s="67" t="str">
        <f>'натур показатели патриотика'!D272</f>
        <v>шт</v>
      </c>
      <c r="E235" s="169">
        <f>'таланты+инициативы0,262'!D324</f>
        <v>2.62</v>
      </c>
    </row>
    <row r="236" spans="1:5" x14ac:dyDescent="0.25">
      <c r="A236" s="713"/>
      <c r="B236" s="714"/>
      <c r="C236" s="429" t="str">
        <f>'таланты+инициативы0,262'!A325</f>
        <v>щит распределительный</v>
      </c>
      <c r="D236" s="67" t="str">
        <f>'натур показатели патриотика'!D273</f>
        <v>шт</v>
      </c>
      <c r="E236" s="169">
        <f>'таланты+инициативы0,262'!D325</f>
        <v>0.26200000000000001</v>
      </c>
    </row>
    <row r="237" spans="1:5" x14ac:dyDescent="0.25">
      <c r="A237" s="713"/>
      <c r="B237" s="714"/>
      <c r="C237" s="429" t="str">
        <f>'таланты+инициативы0,262'!A326</f>
        <v>фен технический</v>
      </c>
      <c r="D237" s="67" t="str">
        <f>'натур показатели патриотика'!D274</f>
        <v>шт</v>
      </c>
      <c r="E237" s="169">
        <f>'таланты+инициативы0,262'!D326</f>
        <v>0.26200000000000001</v>
      </c>
    </row>
    <row r="238" spans="1:5" x14ac:dyDescent="0.25">
      <c r="A238" s="713"/>
      <c r="B238" s="714"/>
      <c r="C238" s="429" t="str">
        <f>'таланты+инициативы0,262'!A327</f>
        <v>струбцина</v>
      </c>
      <c r="D238" s="67" t="str">
        <f>'натур показатели патриотика'!D275</f>
        <v>шт</v>
      </c>
      <c r="E238" s="169">
        <f>'таланты+инициативы0,262'!D327</f>
        <v>0.26200000000000001</v>
      </c>
    </row>
    <row r="239" spans="1:5" x14ac:dyDescent="0.25">
      <c r="A239" s="713"/>
      <c r="B239" s="714"/>
      <c r="C239" s="429" t="str">
        <f>'таланты+инициативы0,262'!A328</f>
        <v>набор струбцины</v>
      </c>
      <c r="D239" s="67" t="str">
        <f>'натур показатели патриотика'!D276</f>
        <v>шт</v>
      </c>
      <c r="E239" s="169">
        <f>'таланты+инициативы0,262'!D328</f>
        <v>0.26200000000000001</v>
      </c>
    </row>
    <row r="240" spans="1:5" x14ac:dyDescent="0.25">
      <c r="A240" s="713"/>
      <c r="B240" s="714"/>
      <c r="C240" s="429" t="str">
        <f>'таланты+инициативы0,262'!A329</f>
        <v>сверло по бетону</v>
      </c>
      <c r="D240" s="67" t="str">
        <f>'натур показатели патриотика'!D277</f>
        <v>шт</v>
      </c>
      <c r="E240" s="169">
        <f>'таланты+инициативы0,262'!D329</f>
        <v>0.26200000000000001</v>
      </c>
    </row>
    <row r="241" spans="1:5" x14ac:dyDescent="0.25">
      <c r="A241" s="713"/>
      <c r="B241" s="714"/>
      <c r="C241" s="429" t="str">
        <f>'таланты+инициативы0,262'!A330</f>
        <v>кисть Акор работы по дереву</v>
      </c>
      <c r="D241" s="67" t="str">
        <f>'натур показатели патриотика'!D278</f>
        <v>шт</v>
      </c>
      <c r="E241" s="169">
        <f>'таланты+инициативы0,262'!D330</f>
        <v>2.3580000000000001</v>
      </c>
    </row>
    <row r="242" spans="1:5" x14ac:dyDescent="0.25">
      <c r="A242" s="713"/>
      <c r="B242" s="714"/>
      <c r="C242" s="429" t="str">
        <f>'таланты+инициативы0,262'!A331</f>
        <v>эмаль аэрозоль желтая 520 мл</v>
      </c>
      <c r="D242" s="67" t="str">
        <f>'натур показатели патриотика'!D279</f>
        <v>шт</v>
      </c>
      <c r="E242" s="169">
        <f>'таланты+инициативы0,262'!D331</f>
        <v>0.26200000000000001</v>
      </c>
    </row>
    <row r="243" spans="1:5" x14ac:dyDescent="0.25">
      <c r="A243" s="713"/>
      <c r="B243" s="714"/>
      <c r="C243" s="429" t="str">
        <f>'таланты+инициативы0,262'!A332</f>
        <v>эмаль аэрозоль голубая 520 мл</v>
      </c>
      <c r="D243" s="67" t="str">
        <f>'натур показатели патриотика'!D280</f>
        <v>шт</v>
      </c>
      <c r="E243" s="169">
        <f>'таланты+инициативы0,262'!D332</f>
        <v>0.78600000000000003</v>
      </c>
    </row>
    <row r="244" spans="1:5" x14ac:dyDescent="0.25">
      <c r="A244" s="713"/>
      <c r="B244" s="714"/>
      <c r="C244" s="429" t="str">
        <f>'таланты+инициативы0,262'!A333</f>
        <v>набор инструментов зубр</v>
      </c>
      <c r="D244" s="67" t="str">
        <f>'натур показатели патриотика'!D281</f>
        <v>шт</v>
      </c>
      <c r="E244" s="169">
        <f>'таланты+инициативы0,262'!D333</f>
        <v>0.26200000000000001</v>
      </c>
    </row>
    <row r="245" spans="1:5" x14ac:dyDescent="0.25">
      <c r="A245" s="713"/>
      <c r="B245" s="714"/>
      <c r="C245" s="429" t="str">
        <f>'таланты+инициативы0,262'!A334</f>
        <v>набор сьемников для панели</v>
      </c>
      <c r="D245" s="67" t="str">
        <f>'натур показатели патриотика'!D282</f>
        <v>шт</v>
      </c>
      <c r="E245" s="169">
        <f>'таланты+инициативы0,262'!D334</f>
        <v>0.26200000000000001</v>
      </c>
    </row>
    <row r="246" spans="1:5" x14ac:dyDescent="0.25">
      <c r="A246" s="713"/>
      <c r="B246" s="714"/>
      <c r="C246" s="429" t="str">
        <f>'таланты+инициативы0,262'!A335</f>
        <v>смазка проникающая</v>
      </c>
      <c r="D246" s="67" t="str">
        <f>'натур показатели патриотика'!D283</f>
        <v>шт</v>
      </c>
      <c r="E246" s="169">
        <f>'таланты+инициативы0,262'!D335</f>
        <v>0.26200000000000001</v>
      </c>
    </row>
    <row r="247" spans="1:5" x14ac:dyDescent="0.25">
      <c r="A247" s="713"/>
      <c r="B247" s="714"/>
      <c r="C247" s="429" t="str">
        <f>'таланты+инициативы0,262'!A336</f>
        <v>воронка уфа</v>
      </c>
      <c r="D247" s="67" t="str">
        <f>'натур показатели патриотика'!D284</f>
        <v>шт</v>
      </c>
      <c r="E247" s="169">
        <f>'таланты+инициативы0,262'!D336</f>
        <v>0.26200000000000001</v>
      </c>
    </row>
    <row r="248" spans="1:5" x14ac:dyDescent="0.25">
      <c r="A248" s="713"/>
      <c r="B248" s="714"/>
      <c r="C248" s="429" t="str">
        <f>'таланты+инициативы0,262'!A337</f>
        <v>угол крепежный усиленный</v>
      </c>
      <c r="D248" s="67" t="str">
        <f>'натур показатели патриотика'!D285</f>
        <v>шт</v>
      </c>
      <c r="E248" s="169">
        <f>'таланты+инициативы0,262'!D337</f>
        <v>1.5720000000000001</v>
      </c>
    </row>
    <row r="249" spans="1:5" x14ac:dyDescent="0.25">
      <c r="A249" s="713"/>
      <c r="B249" s="714"/>
      <c r="C249" s="429" t="str">
        <f>'таланты+инициативы0,262'!A338</f>
        <v>обои винил</v>
      </c>
      <c r="D249" s="67" t="str">
        <f>'натур показатели патриотика'!D286</f>
        <v>шт</v>
      </c>
      <c r="E249" s="169">
        <f>'таланты+инициативы0,262'!D338</f>
        <v>1.048</v>
      </c>
    </row>
    <row r="250" spans="1:5" x14ac:dyDescent="0.25">
      <c r="A250" s="713"/>
      <c r="B250" s="714"/>
      <c r="C250" s="429" t="str">
        <f>'таланты+инициативы0,262'!A339</f>
        <v>альба обои влагостойкие</v>
      </c>
      <c r="D250" s="67" t="str">
        <f>'натур показатели патриотика'!D287</f>
        <v>шт</v>
      </c>
      <c r="E250" s="169">
        <f>'таланты+инициативы0,262'!D339</f>
        <v>0.52400000000000002</v>
      </c>
    </row>
    <row r="251" spans="1:5" x14ac:dyDescent="0.25">
      <c r="A251" s="713"/>
      <c r="B251" s="714"/>
      <c r="C251" s="429" t="str">
        <f>'таланты+инициативы0,262'!A340</f>
        <v>эмаль пф-266 алк. Красно-коричневая</v>
      </c>
      <c r="D251" s="67" t="str">
        <f>'натур показатели патриотика'!D288</f>
        <v>шт</v>
      </c>
      <c r="E251" s="169">
        <f>'таланты+инициативы0,262'!D340</f>
        <v>0.52400000000000002</v>
      </c>
    </row>
    <row r="252" spans="1:5" ht="22.5" customHeight="1" x14ac:dyDescent="0.25">
      <c r="A252" s="713"/>
      <c r="B252" s="714"/>
      <c r="C252" s="429" t="str">
        <f>'таланты+инициативы0,262'!A341</f>
        <v>эмаль олеколор пф-115 алк белая</v>
      </c>
      <c r="D252" s="67" t="str">
        <f>'натур показатели патриотика'!D289</f>
        <v>шт</v>
      </c>
      <c r="E252" s="169">
        <f>'таланты+инициативы0,262'!D341</f>
        <v>0.26200000000000001</v>
      </c>
    </row>
    <row r="253" spans="1:5" x14ac:dyDescent="0.25">
      <c r="A253" s="713"/>
      <c r="B253" s="714"/>
      <c r="C253" s="429" t="str">
        <f>'таланты+инициативы0,262'!A342</f>
        <v>валик Акор мастер240*8</v>
      </c>
      <c r="D253" s="67" t="str">
        <f>'натур показатели патриотика'!D290</f>
        <v>шт</v>
      </c>
      <c r="E253" s="169">
        <f>'таланты+инициативы0,262'!D342</f>
        <v>0.26200000000000001</v>
      </c>
    </row>
    <row r="254" spans="1:5" x14ac:dyDescent="0.25">
      <c r="A254" s="713"/>
      <c r="B254" s="714"/>
      <c r="C254" s="429" t="str">
        <f>'таланты+инициативы0,262'!A343</f>
        <v>кисть акор столичная</v>
      </c>
      <c r="D254" s="67" t="str">
        <f>'натур показатели патриотика'!D291</f>
        <v>шт</v>
      </c>
      <c r="E254" s="169">
        <f>'таланты+инициативы0,262'!D343</f>
        <v>0.52400000000000002</v>
      </c>
    </row>
    <row r="255" spans="1:5" x14ac:dyDescent="0.25">
      <c r="A255" s="713"/>
      <c r="B255" s="714"/>
      <c r="C255" s="429" t="str">
        <f>'таланты+инициативы0,262'!A344</f>
        <v>клей обойный</v>
      </c>
      <c r="D255" s="67" t="str">
        <f>'натур показатели патриотика'!D292</f>
        <v>шт</v>
      </c>
      <c r="E255" s="169">
        <f>'таланты+инициативы0,262'!D344</f>
        <v>0.26200000000000001</v>
      </c>
    </row>
    <row r="256" spans="1:5" x14ac:dyDescent="0.25">
      <c r="A256" s="713"/>
      <c r="B256" s="714"/>
      <c r="C256" s="429" t="str">
        <f>'таланты+инициативы0,262'!A345</f>
        <v>удлинитель нильсон</v>
      </c>
      <c r="D256" s="67" t="str">
        <f>'натур показатели патриотика'!D293</f>
        <v>шт</v>
      </c>
      <c r="E256" s="169">
        <f>'таланты+инициативы0,262'!D345</f>
        <v>0.52400000000000002</v>
      </c>
    </row>
    <row r="257" spans="1:5" x14ac:dyDescent="0.25">
      <c r="A257" s="713"/>
      <c r="B257" s="714"/>
      <c r="C257" s="429" t="str">
        <f>'таланты+инициативы0,262'!A346</f>
        <v>штора рул 180 см</v>
      </c>
      <c r="D257" s="67" t="str">
        <f>'натур показатели патриотика'!D294</f>
        <v>шт</v>
      </c>
      <c r="E257" s="169">
        <f>'таланты+инициативы0,262'!D346</f>
        <v>0.26200000000000001</v>
      </c>
    </row>
    <row r="258" spans="1:5" x14ac:dyDescent="0.25">
      <c r="A258" s="713"/>
      <c r="B258" s="714"/>
      <c r="C258" s="429" t="str">
        <f>'таланты+инициативы0,262'!A347</f>
        <v>штора рул 150 см</v>
      </c>
      <c r="D258" s="67" t="str">
        <f>'натур показатели патриотика'!D295</f>
        <v>шт</v>
      </c>
      <c r="E258" s="169">
        <f>'таланты+инициативы0,262'!D347</f>
        <v>0.26200000000000001</v>
      </c>
    </row>
    <row r="259" spans="1:5" x14ac:dyDescent="0.25">
      <c r="A259" s="713"/>
      <c r="B259" s="714"/>
      <c r="C259" s="429" t="str">
        <f>'таланты+инициативы0,262'!A348</f>
        <v>клей космофен</v>
      </c>
      <c r="D259" s="67" t="str">
        <f>'натур показатели патриотика'!D296</f>
        <v>шт</v>
      </c>
      <c r="E259" s="169">
        <f>'таланты+инициативы0,262'!D348</f>
        <v>0.52400000000000002</v>
      </c>
    </row>
    <row r="260" spans="1:5" x14ac:dyDescent="0.25">
      <c r="A260" s="713"/>
      <c r="B260" s="714"/>
      <c r="C260" s="429" t="str">
        <f>'таланты+инициативы0,262'!A349</f>
        <v>обои ротанг</v>
      </c>
      <c r="D260" s="67" t="str">
        <f>'натур показатели патриотика'!D297</f>
        <v>шт</v>
      </c>
      <c r="E260" s="169">
        <f>'таланты+инициативы0,262'!D349</f>
        <v>1.31</v>
      </c>
    </row>
    <row r="261" spans="1:5" x14ac:dyDescent="0.25">
      <c r="A261" s="713"/>
      <c r="B261" s="714"/>
      <c r="C261" s="429" t="str">
        <f>'таланты+инициативы0,262'!A350</f>
        <v>эмаль пф-115</v>
      </c>
      <c r="D261" s="67" t="str">
        <f>'натур показатели патриотика'!D298</f>
        <v>шт</v>
      </c>
      <c r="E261" s="169">
        <f>'таланты+инициативы0,262'!D350</f>
        <v>0.26200000000000001</v>
      </c>
    </row>
    <row r="262" spans="1:5" x14ac:dyDescent="0.25">
      <c r="A262" s="713"/>
      <c r="B262" s="714"/>
      <c r="C262" s="429" t="str">
        <f>'таланты+инициативы0,262'!A351</f>
        <v>обои альба</v>
      </c>
      <c r="D262" s="67" t="str">
        <f>'натур показатели патриотика'!D299</f>
        <v>шт</v>
      </c>
      <c r="E262" s="169">
        <f>'таланты+инициативы0,262'!D351</f>
        <v>0.26200000000000001</v>
      </c>
    </row>
    <row r="263" spans="1:5" x14ac:dyDescent="0.25">
      <c r="A263" s="713"/>
      <c r="B263" s="714"/>
      <c r="C263" s="429" t="str">
        <f>'таланты+инициативы0,262'!A352</f>
        <v>гвозди строит</v>
      </c>
      <c r="D263" s="67" t="str">
        <f>'натур показатели патриотика'!D300</f>
        <v>шт</v>
      </c>
      <c r="E263" s="169">
        <f>'таланты+инициативы0,262'!D352</f>
        <v>0.78600000000000003</v>
      </c>
    </row>
    <row r="264" spans="1:5" x14ac:dyDescent="0.25">
      <c r="A264" s="713"/>
      <c r="B264" s="714"/>
      <c r="C264" s="429" t="str">
        <f>'таланты+инициативы0,262'!A353</f>
        <v>молоток кованый</v>
      </c>
      <c r="D264" s="67" t="str">
        <f>'натур показатели патриотика'!D301</f>
        <v>шт</v>
      </c>
      <c r="E264" s="169">
        <f>'таланты+инициативы0,262'!D353</f>
        <v>0.26200000000000001</v>
      </c>
    </row>
    <row r="265" spans="1:5" x14ac:dyDescent="0.25">
      <c r="A265" s="713"/>
      <c r="B265" s="714"/>
      <c r="C265" s="429" t="str">
        <f>'таланты+инициативы0,262'!A354</f>
        <v>фанера береза</v>
      </c>
      <c r="D265" s="67" t="str">
        <f>'натур показатели патриотика'!D302</f>
        <v>шт</v>
      </c>
      <c r="E265" s="169">
        <f>'таланты+инициативы0,262'!D354</f>
        <v>2.62</v>
      </c>
    </row>
    <row r="266" spans="1:5" x14ac:dyDescent="0.25">
      <c r="A266" s="713"/>
      <c r="B266" s="714"/>
      <c r="C266" s="429" t="str">
        <f>'таланты+инициативы0,262'!A355</f>
        <v>проступь черная</v>
      </c>
      <c r="D266" s="67" t="str">
        <f>'натур показатели патриотика'!D303</f>
        <v>шт</v>
      </c>
      <c r="E266" s="169">
        <f>'таланты+инициативы0,262'!D355</f>
        <v>0.52400000000000002</v>
      </c>
    </row>
    <row r="267" spans="1:5" x14ac:dyDescent="0.25">
      <c r="A267" s="713"/>
      <c r="B267" s="714"/>
      <c r="C267" s="429" t="str">
        <f>'таланты+инициативы0,262'!A356</f>
        <v>коврик влаговпит</v>
      </c>
      <c r="D267" s="67" t="str">
        <f>'натур показатели патриотика'!D304</f>
        <v>шт</v>
      </c>
      <c r="E267" s="169">
        <f>'таланты+инициативы0,262'!D356</f>
        <v>0.52400000000000002</v>
      </c>
    </row>
    <row r="268" spans="1:5" x14ac:dyDescent="0.25">
      <c r="A268" s="713"/>
      <c r="B268" s="714"/>
      <c r="C268" s="429" t="str">
        <f>'таланты+инициативы0,262'!A357</f>
        <v>угол крепежный</v>
      </c>
      <c r="D268" s="67" t="str">
        <f>'натур показатели патриотика'!D305</f>
        <v>шт</v>
      </c>
      <c r="E268" s="169">
        <f>'таланты+инициативы0,262'!D357</f>
        <v>5.24</v>
      </c>
    </row>
    <row r="269" spans="1:5" x14ac:dyDescent="0.25">
      <c r="A269" s="713"/>
      <c r="B269" s="714"/>
      <c r="C269" s="429" t="str">
        <f>'таланты+инициативы0,262'!A358</f>
        <v>петля накладная</v>
      </c>
      <c r="D269" s="67" t="str">
        <f>'натур показатели патриотика'!D306</f>
        <v>шт</v>
      </c>
      <c r="E269" s="169">
        <f>'таланты+инициативы0,262'!D358</f>
        <v>0.52400000000000002</v>
      </c>
    </row>
    <row r="270" spans="1:5" x14ac:dyDescent="0.25">
      <c r="A270" s="713"/>
      <c r="B270" s="714"/>
      <c r="C270" s="429" t="str">
        <f>'таланты+инициативы0,262'!A359</f>
        <v>проушина</v>
      </c>
      <c r="D270" s="67" t="str">
        <f>'натур показатели патриотика'!D307</f>
        <v>шт</v>
      </c>
      <c r="E270" s="169">
        <f>'таланты+инициативы0,262'!D359</f>
        <v>0.52400000000000002</v>
      </c>
    </row>
    <row r="271" spans="1:5" x14ac:dyDescent="0.25">
      <c r="A271" s="713"/>
      <c r="B271" s="714"/>
      <c r="C271" s="429" t="str">
        <f>'таланты+инициативы0,262'!A360</f>
        <v>домкрат</v>
      </c>
      <c r="D271" s="67" t="str">
        <f>'натур показатели патриотика'!D308</f>
        <v>шт</v>
      </c>
      <c r="E271" s="169">
        <f>'таланты+инициативы0,262'!D360</f>
        <v>0.26200000000000001</v>
      </c>
    </row>
    <row r="272" spans="1:5" x14ac:dyDescent="0.25">
      <c r="A272" s="713"/>
      <c r="B272" s="714"/>
      <c r="C272" s="429" t="str">
        <f>'таланты+инициативы0,262'!A361</f>
        <v>скотч упаковочный</v>
      </c>
      <c r="D272" s="67" t="str">
        <f>'натур показатели патриотика'!D309</f>
        <v>шт</v>
      </c>
      <c r="E272" s="169">
        <f>'таланты+инициативы0,262'!D361</f>
        <v>1.31</v>
      </c>
    </row>
    <row r="273" spans="1:5" x14ac:dyDescent="0.25">
      <c r="A273" s="713"/>
      <c r="B273" s="714"/>
      <c r="C273" s="429" t="str">
        <f>'таланты+инициативы0,262'!A362</f>
        <v>скотч 48мм</v>
      </c>
      <c r="D273" s="67" t="str">
        <f>'натур показатели патриотика'!D310</f>
        <v>шт</v>
      </c>
      <c r="E273" s="169">
        <f>'таланты+инициативы0,262'!D362</f>
        <v>1.5720000000000001</v>
      </c>
    </row>
    <row r="274" spans="1:5" x14ac:dyDescent="0.25">
      <c r="A274" s="713"/>
      <c r="B274" s="714"/>
      <c r="C274" s="429" t="str">
        <f>'таланты+инициативы0,262'!A363</f>
        <v>сердцевина цам</v>
      </c>
      <c r="D274" s="67" t="str">
        <f>'натур показатели патриотика'!D311</f>
        <v>шт</v>
      </c>
      <c r="E274" s="169">
        <f>'таланты+инициативы0,262'!D363</f>
        <v>0.26200000000000001</v>
      </c>
    </row>
    <row r="275" spans="1:5" x14ac:dyDescent="0.25">
      <c r="A275" s="713"/>
      <c r="B275" s="714"/>
      <c r="C275" s="429" t="str">
        <f>'таланты+инициативы0,262'!A364</f>
        <v>прожектор светодиод</v>
      </c>
      <c r="D275" s="67" t="str">
        <f>'натур показатели патриотика'!D312</f>
        <v>шт</v>
      </c>
      <c r="E275" s="169">
        <f>'таланты+инициативы0,262'!D364</f>
        <v>0.52400000000000002</v>
      </c>
    </row>
    <row r="276" spans="1:5" x14ac:dyDescent="0.25">
      <c r="A276" s="713"/>
      <c r="B276" s="714"/>
      <c r="C276" s="429" t="str">
        <f>'таланты+инициативы0,262'!A365</f>
        <v>эмаль акрил белая 0,8 кг</v>
      </c>
      <c r="D276" s="67" t="str">
        <f>'натур показатели патриотика'!D313</f>
        <v>шт</v>
      </c>
      <c r="E276" s="169">
        <f>'таланты+инициативы0,262'!D365</f>
        <v>0.26200000000000001</v>
      </c>
    </row>
    <row r="277" spans="1:5" x14ac:dyDescent="0.25">
      <c r="A277" s="713"/>
      <c r="B277" s="714"/>
      <c r="C277" s="429" t="str">
        <f>'таланты+инициативы0,262'!A366</f>
        <v>универс колер 80 мл алый</v>
      </c>
      <c r="D277" s="67" t="str">
        <f>'натур показатели патриотика'!D314</f>
        <v>шт</v>
      </c>
      <c r="E277" s="169">
        <f>'таланты+инициативы0,262'!D366</f>
        <v>0.26200000000000001</v>
      </c>
    </row>
    <row r="278" spans="1:5" x14ac:dyDescent="0.25">
      <c r="A278" s="713"/>
      <c r="B278" s="714"/>
      <c r="C278" s="429" t="str">
        <f>'таланты+инициативы0,262'!A367</f>
        <v>универс колер 80 мл зеленый</v>
      </c>
      <c r="D278" s="67" t="str">
        <f>'натур показатели патриотика'!D315</f>
        <v>шт</v>
      </c>
      <c r="E278" s="169">
        <f>'таланты+инициативы0,262'!D367</f>
        <v>0.26200000000000001</v>
      </c>
    </row>
    <row r="279" spans="1:5" x14ac:dyDescent="0.25">
      <c r="A279" s="713"/>
      <c r="B279" s="714"/>
      <c r="C279" s="429" t="str">
        <f>'таланты+инициативы0,262'!A368</f>
        <v>кран бабочка</v>
      </c>
      <c r="D279" s="67" t="str">
        <f>'натур показатели патриотика'!D316</f>
        <v>шт</v>
      </c>
      <c r="E279" s="169">
        <f>'таланты+инициативы0,262'!D368</f>
        <v>4.1920000000000002</v>
      </c>
    </row>
    <row r="280" spans="1:5" x14ac:dyDescent="0.25">
      <c r="A280" s="713"/>
      <c r="B280" s="714"/>
      <c r="C280" s="429" t="str">
        <f>'таланты+инициативы0,262'!A369</f>
        <v>вдк интерьерная</v>
      </c>
      <c r="D280" s="67" t="str">
        <f>'натур показатели патриотика'!D317</f>
        <v>шт</v>
      </c>
      <c r="E280" s="169">
        <f>'таланты+инициативы0,262'!D369</f>
        <v>0.26200000000000001</v>
      </c>
    </row>
    <row r="281" spans="1:5" x14ac:dyDescent="0.25">
      <c r="A281" s="713"/>
      <c r="B281" s="714"/>
      <c r="C281" s="429" t="str">
        <f>'таланты+инициативы0,262'!A370</f>
        <v>замок навесной</v>
      </c>
      <c r="D281" s="67" t="str">
        <f>'натур показатели патриотика'!D318</f>
        <v>шт</v>
      </c>
      <c r="E281" s="169">
        <f>'таланты+инициативы0,262'!D370</f>
        <v>0.26200000000000001</v>
      </c>
    </row>
    <row r="282" spans="1:5" x14ac:dyDescent="0.25">
      <c r="A282" s="713"/>
      <c r="B282" s="714"/>
      <c r="C282" s="429" t="str">
        <f>'таланты+инициативы0,262'!A371</f>
        <v>петля накладная 85 левая</v>
      </c>
      <c r="D282" s="67" t="str">
        <f>'натур показатели патриотика'!D319</f>
        <v>шт</v>
      </c>
      <c r="E282" s="169">
        <f>'таланты+инициативы0,262'!D371</f>
        <v>0.52400000000000002</v>
      </c>
    </row>
    <row r="283" spans="1:5" x14ac:dyDescent="0.25">
      <c r="A283" s="713"/>
      <c r="B283" s="714"/>
      <c r="C283" s="429" t="str">
        <f>'таланты+инициативы0,262'!A372</f>
        <v>петля накладная 70 правая</v>
      </c>
      <c r="D283" s="67" t="str">
        <f>'натур показатели патриотика'!D320</f>
        <v>шт</v>
      </c>
      <c r="E283" s="169">
        <f>'таланты+инициативы0,262'!D372</f>
        <v>2.0960000000000001</v>
      </c>
    </row>
    <row r="284" spans="1:5" x14ac:dyDescent="0.25">
      <c r="A284" s="713"/>
      <c r="B284" s="714"/>
      <c r="C284" s="429" t="str">
        <f>'таланты+инициативы0,262'!A373</f>
        <v>крючок ветровой</v>
      </c>
      <c r="D284" s="67" t="str">
        <f>'натур показатели патриотика'!D321</f>
        <v>шт</v>
      </c>
      <c r="E284" s="169">
        <f>'таланты+инициативы0,262'!D373</f>
        <v>2.0960000000000001</v>
      </c>
    </row>
    <row r="285" spans="1:5" x14ac:dyDescent="0.25">
      <c r="A285" s="713"/>
      <c r="B285" s="714"/>
      <c r="C285" s="429" t="str">
        <f>'таланты+инициативы0,262'!A374</f>
        <v>ручка-скоба</v>
      </c>
      <c r="D285" s="67" t="str">
        <f>'натур показатели патриотика'!D322</f>
        <v>шт</v>
      </c>
      <c r="E285" s="169">
        <f>'таланты+инициативы0,262'!D374</f>
        <v>0.52400000000000002</v>
      </c>
    </row>
    <row r="286" spans="1:5" x14ac:dyDescent="0.25">
      <c r="A286" s="713"/>
      <c r="B286" s="714"/>
      <c r="C286" s="429" t="str">
        <f>'таланты+инициативы0,262'!A375</f>
        <v>фанера 10 мм</v>
      </c>
      <c r="D286" s="67" t="str">
        <f>'натур показатели патриотика'!D323</f>
        <v>шт</v>
      </c>
      <c r="E286" s="169">
        <f>'таланты+инициативы0,262'!D375</f>
        <v>1.048</v>
      </c>
    </row>
    <row r="287" spans="1:5" x14ac:dyDescent="0.25">
      <c r="A287" s="713"/>
      <c r="B287" s="714"/>
      <c r="C287" s="429" t="str">
        <f>'таланты+инициативы0,262'!A376</f>
        <v>фанера 20 мм</v>
      </c>
      <c r="D287" s="67" t="str">
        <f>'натур показатели патриотика'!D324</f>
        <v>шт</v>
      </c>
      <c r="E287" s="169">
        <f>'таланты+инициативы0,262'!D376</f>
        <v>0.52400000000000002</v>
      </c>
    </row>
    <row r="288" spans="1:5" x14ac:dyDescent="0.25">
      <c r="A288" s="713"/>
      <c r="B288" s="714"/>
      <c r="C288" s="429" t="str">
        <f>'таланты+инициативы0,262'!A377</f>
        <v>заглушка торцевая</v>
      </c>
      <c r="D288" s="67" t="str">
        <f>'натур показатели патриотика'!D325</f>
        <v>шт</v>
      </c>
      <c r="E288" s="169">
        <f>'таланты+инициативы0,262'!D377</f>
        <v>2.62</v>
      </c>
    </row>
    <row r="289" spans="1:5" x14ac:dyDescent="0.25">
      <c r="A289" s="713"/>
      <c r="B289" s="714"/>
      <c r="C289" s="429" t="str">
        <f>'таланты+инициативы0,262'!A378</f>
        <v>проступь черная</v>
      </c>
      <c r="D289" s="67" t="str">
        <f>'натур показатели патриотика'!D326</f>
        <v>шт</v>
      </c>
      <c r="E289" s="169">
        <f>'таланты+инициативы0,262'!D378</f>
        <v>0.26200000000000001</v>
      </c>
    </row>
    <row r="290" spans="1:5" x14ac:dyDescent="0.25">
      <c r="A290" s="713"/>
      <c r="B290" s="714"/>
      <c r="C290" s="429" t="str">
        <f>'таланты+инициативы0,262'!A379</f>
        <v>замок врезной</v>
      </c>
      <c r="D290" s="67" t="str">
        <f>'натур показатели патриотика'!D327</f>
        <v>шт</v>
      </c>
      <c r="E290" s="169">
        <f>'таланты+инициативы0,262'!D379</f>
        <v>1.048</v>
      </c>
    </row>
    <row r="291" spans="1:5" x14ac:dyDescent="0.25">
      <c r="A291" s="713"/>
      <c r="B291" s="714"/>
      <c r="C291" s="429" t="str">
        <f>'таланты+инициативы0,262'!A380</f>
        <v>диск шлифовальный</v>
      </c>
      <c r="D291" s="67" t="str">
        <f>'натур показатели патриотика'!D328</f>
        <v>шт</v>
      </c>
      <c r="E291" s="169">
        <f>'таланты+инициативы0,262'!D380</f>
        <v>0.26200000000000001</v>
      </c>
    </row>
    <row r="292" spans="1:5" x14ac:dyDescent="0.25">
      <c r="A292" s="713"/>
      <c r="B292" s="714"/>
      <c r="C292" s="429" t="str">
        <f>'таланты+инициативы0,262'!A381</f>
        <v>порожек стык</v>
      </c>
      <c r="D292" s="67" t="str">
        <f>'натур показатели патриотика'!D329</f>
        <v>шт</v>
      </c>
      <c r="E292" s="169">
        <f>'таланты+инициативы0,262'!D381</f>
        <v>1.5720000000000001</v>
      </c>
    </row>
    <row r="293" spans="1:5" x14ac:dyDescent="0.25">
      <c r="A293" s="713"/>
      <c r="B293" s="714"/>
      <c r="C293" s="429" t="str">
        <f>'таланты+инициативы0,262'!A382</f>
        <v>порожек стык</v>
      </c>
      <c r="D293" s="67" t="str">
        <f>'натур показатели патриотика'!D330</f>
        <v>шт</v>
      </c>
      <c r="E293" s="169">
        <f>'таланты+инициативы0,262'!D382</f>
        <v>0.78600000000000003</v>
      </c>
    </row>
    <row r="294" spans="1:5" x14ac:dyDescent="0.25">
      <c r="A294" s="713"/>
      <c r="B294" s="714"/>
      <c r="C294" s="429" t="str">
        <f>'таланты+инициативы0,262'!A383</f>
        <v>грунтовка акрил 5 кг</v>
      </c>
      <c r="D294" s="67" t="str">
        <f>'натур показатели патриотика'!D331</f>
        <v>шт</v>
      </c>
      <c r="E294" s="169">
        <f>'таланты+инициативы0,262'!D383</f>
        <v>0.26200000000000001</v>
      </c>
    </row>
    <row r="295" spans="1:5" x14ac:dyDescent="0.25">
      <c r="A295" s="713"/>
      <c r="B295" s="714"/>
      <c r="C295" s="429" t="str">
        <f>'таланты+инициативы0,262'!A384</f>
        <v>скребок снеговой</v>
      </c>
      <c r="D295" s="67" t="str">
        <f>'натур показатели патриотика'!D332</f>
        <v>шт</v>
      </c>
      <c r="E295" s="169">
        <f>'таланты+инициативы0,262'!D384</f>
        <v>0.26200000000000001</v>
      </c>
    </row>
    <row r="296" spans="1:5" x14ac:dyDescent="0.25">
      <c r="A296" s="713"/>
      <c r="B296" s="714"/>
      <c r="C296" s="429" t="str">
        <f>'таланты+инициативы0,262'!A385</f>
        <v>обивка для двери эконом</v>
      </c>
      <c r="D296" s="67" t="str">
        <f>'натур показатели патриотика'!D333</f>
        <v>шт</v>
      </c>
      <c r="E296" s="169">
        <f>'таланты+инициативы0,262'!D385</f>
        <v>1.048</v>
      </c>
    </row>
    <row r="297" spans="1:5" x14ac:dyDescent="0.25">
      <c r="A297" s="713"/>
      <c r="B297" s="714"/>
      <c r="C297" s="429" t="str">
        <f>'таланты+инициативы0,262'!A386</f>
        <v>клей момент-монтаж</v>
      </c>
      <c r="D297" s="67" t="str">
        <f>'натур показатели патриотика'!D334</f>
        <v>шт</v>
      </c>
      <c r="E297" s="169">
        <f>'таланты+инициативы0,262'!D386</f>
        <v>0.52400000000000002</v>
      </c>
    </row>
    <row r="298" spans="1:5" x14ac:dyDescent="0.25">
      <c r="A298" s="713"/>
      <c r="B298" s="714"/>
      <c r="C298" s="429" t="str">
        <f>'таланты+инициативы0,262'!A387</f>
        <v>кисть акор 38*13</v>
      </c>
      <c r="D298" s="67" t="str">
        <f>'натур показатели патриотика'!D335</f>
        <v>шт</v>
      </c>
      <c r="E298" s="169">
        <f>'таланты+инициативы0,262'!D387</f>
        <v>0.26200000000000001</v>
      </c>
    </row>
    <row r="299" spans="1:5" x14ac:dyDescent="0.25">
      <c r="A299" s="713"/>
      <c r="B299" s="714"/>
      <c r="C299" s="429" t="str">
        <f>'таланты+инициативы0,262'!A388</f>
        <v>кисть акор 25*10</v>
      </c>
      <c r="D299" s="67" t="str">
        <f>'натур показатели патриотика'!D336</f>
        <v>шт</v>
      </c>
      <c r="E299" s="169">
        <f>'таланты+инициативы0,262'!D388</f>
        <v>0.26200000000000001</v>
      </c>
    </row>
    <row r="300" spans="1:5" x14ac:dyDescent="0.25">
      <c r="A300" s="713"/>
      <c r="B300" s="714"/>
      <c r="C300" s="429" t="str">
        <f>'таланты+инициативы0,262'!A389</f>
        <v>саморез с прессшайбой</v>
      </c>
      <c r="D300" s="67" t="str">
        <f>'натур показатели патриотика'!D337</f>
        <v>шт</v>
      </c>
      <c r="E300" s="169">
        <f>'таланты+инициативы0,262'!D389</f>
        <v>13.100000000000001</v>
      </c>
    </row>
    <row r="301" spans="1:5" x14ac:dyDescent="0.25">
      <c r="A301" s="713"/>
      <c r="B301" s="714"/>
      <c r="C301" s="429" t="str">
        <f>'таланты+инициативы0,262'!A390</f>
        <v>грунт алк серый 2,1</v>
      </c>
      <c r="D301" s="67" t="str">
        <f>'натур показатели патриотика'!D338</f>
        <v>шт</v>
      </c>
      <c r="E301" s="169">
        <f>'таланты+инициативы0,262'!D390</f>
        <v>0.26200000000000001</v>
      </c>
    </row>
    <row r="302" spans="1:5" x14ac:dyDescent="0.25">
      <c r="A302" s="713"/>
      <c r="B302" s="714"/>
      <c r="C302" s="429" t="str">
        <f>'таланты+инициативы0,262'!A391</f>
        <v>грунт алк серый 1 кг</v>
      </c>
      <c r="D302" s="67" t="str">
        <f>'натур показатели патриотика'!D339</f>
        <v>шт</v>
      </c>
      <c r="E302" s="169">
        <f>'таланты+инициативы0,262'!D391</f>
        <v>0.26200000000000001</v>
      </c>
    </row>
    <row r="303" spans="1:5" x14ac:dyDescent="0.25">
      <c r="A303" s="713"/>
      <c r="B303" s="714"/>
      <c r="C303" s="429" t="str">
        <f>'таланты+инициативы0,262'!A392</f>
        <v>кисть акор 35*10</v>
      </c>
      <c r="D303" s="67" t="str">
        <f>'натур показатели патриотика'!D340</f>
        <v>шт</v>
      </c>
      <c r="E303" s="169">
        <f>'таланты+инициативы0,262'!D392</f>
        <v>1.048</v>
      </c>
    </row>
    <row r="304" spans="1:5" x14ac:dyDescent="0.25">
      <c r="A304" s="713"/>
      <c r="B304" s="714"/>
      <c r="C304" s="429" t="str">
        <f>'таланты+инициативы0,262'!A393</f>
        <v>растворитель</v>
      </c>
      <c r="D304" s="67" t="str">
        <f>'натур показатели патриотика'!D341</f>
        <v>шт</v>
      </c>
      <c r="E304" s="169">
        <f>'таланты+инициативы0,262'!D393</f>
        <v>0.52400000000000002</v>
      </c>
    </row>
    <row r="305" spans="1:5" x14ac:dyDescent="0.25">
      <c r="A305" s="713"/>
      <c r="B305" s="714"/>
      <c r="C305" s="429" t="str">
        <f>'таланты+инициативы0,262'!A394</f>
        <v>эмаль пф-115</v>
      </c>
      <c r="D305" s="67" t="str">
        <f>'натур показатели патриотика'!D342</f>
        <v>шт</v>
      </c>
      <c r="E305" s="169">
        <f>'таланты+инициативы0,262'!D394</f>
        <v>0.26200000000000001</v>
      </c>
    </row>
    <row r="306" spans="1:5" x14ac:dyDescent="0.25">
      <c r="A306" s="713"/>
      <c r="B306" s="714"/>
      <c r="C306" s="429" t="str">
        <f>'таланты+инициативы0,262'!A395</f>
        <v>клей космофен</v>
      </c>
      <c r="D306" s="67" t="str">
        <f>'натур показатели патриотика'!D343</f>
        <v>шт</v>
      </c>
      <c r="E306" s="169">
        <f>'таланты+инициативы0,262'!D395</f>
        <v>0.26200000000000001</v>
      </c>
    </row>
    <row r="307" spans="1:5" x14ac:dyDescent="0.25">
      <c r="A307" s="713"/>
      <c r="B307" s="714"/>
      <c r="C307" s="429" t="str">
        <f>'таланты+инициативы0,262'!A396</f>
        <v>щетка чашечная 0,3*60</v>
      </c>
      <c r="D307" s="67" t="str">
        <f>'натур показатели патриотика'!D344</f>
        <v>шт</v>
      </c>
      <c r="E307" s="169">
        <f>'таланты+инициативы0,262'!D396</f>
        <v>0.78600000000000003</v>
      </c>
    </row>
    <row r="308" spans="1:5" x14ac:dyDescent="0.25">
      <c r="A308" s="713"/>
      <c r="B308" s="714"/>
      <c r="C308" s="429" t="str">
        <f>'таланты+инициативы0,262'!A397</f>
        <v>щетка чашечная 0,3*75</v>
      </c>
      <c r="D308" s="67" t="str">
        <f>'натур показатели патриотика'!D345</f>
        <v>шт</v>
      </c>
      <c r="E308" s="169">
        <f>'таланты+инициативы0,262'!D397</f>
        <v>0.52400000000000002</v>
      </c>
    </row>
    <row r="309" spans="1:5" x14ac:dyDescent="0.25">
      <c r="A309" s="713"/>
      <c r="B309" s="714"/>
      <c r="C309" s="429" t="str">
        <f>'таланты+инициативы0,262'!A398</f>
        <v>угол внутренний, наружный</v>
      </c>
      <c r="D309" s="67" t="str">
        <f>'натур показатели патриотика'!D346</f>
        <v>шт</v>
      </c>
      <c r="E309" s="169">
        <f>'таланты+инициативы0,262'!D398</f>
        <v>5.24</v>
      </c>
    </row>
    <row r="310" spans="1:5" x14ac:dyDescent="0.25">
      <c r="A310" s="713"/>
      <c r="B310" s="714"/>
      <c r="C310" s="429" t="str">
        <f>'таланты+инициативы0,262'!A399</f>
        <v>биты 10 шт</v>
      </c>
      <c r="D310" s="67" t="str">
        <f>'натур показатели патриотика'!D347</f>
        <v>шт</v>
      </c>
      <c r="E310" s="169">
        <f>'таланты+инициативы0,262'!D399</f>
        <v>2.62</v>
      </c>
    </row>
    <row r="311" spans="1:5" x14ac:dyDescent="0.25">
      <c r="A311" s="713"/>
      <c r="B311" s="714"/>
      <c r="C311" s="429" t="str">
        <f>'таланты+инициативы0,262'!A400</f>
        <v>болт шестигранный</v>
      </c>
      <c r="D311" s="67" t="str">
        <f>'натур показатели патриотика'!D348</f>
        <v>шт</v>
      </c>
      <c r="E311" s="169">
        <f>'таланты+инициативы0,262'!D400</f>
        <v>23.842000000000002</v>
      </c>
    </row>
    <row r="312" spans="1:5" x14ac:dyDescent="0.25">
      <c r="A312" s="713"/>
      <c r="B312" s="714"/>
      <c r="C312" s="429" t="str">
        <f>'таланты+инициативы0,262'!A401</f>
        <v>гайка шестигранная</v>
      </c>
      <c r="D312" s="67" t="str">
        <f>'натур показатели патриотика'!D349</f>
        <v>шт</v>
      </c>
      <c r="E312" s="169">
        <f>'таланты+инициативы0,262'!D401</f>
        <v>23.842000000000002</v>
      </c>
    </row>
    <row r="313" spans="1:5" x14ac:dyDescent="0.25">
      <c r="A313" s="713"/>
      <c r="B313" s="714"/>
      <c r="C313" s="429" t="str">
        <f>'таланты+инициативы0,262'!A402</f>
        <v>шайба плоская</v>
      </c>
      <c r="D313" s="67" t="str">
        <f>'натур показатели патриотика'!D350</f>
        <v>шт</v>
      </c>
      <c r="E313" s="169">
        <f>'таланты+инициативы0,262'!D402</f>
        <v>47.160000000000004</v>
      </c>
    </row>
    <row r="314" spans="1:5" x14ac:dyDescent="0.25">
      <c r="A314" s="713"/>
      <c r="B314" s="714"/>
      <c r="C314" s="429" t="str">
        <f>'таланты+инициативы0,262'!A403</f>
        <v>сверло по металлу</v>
      </c>
      <c r="D314" s="67" t="str">
        <f>'натур показатели патриотика'!D351</f>
        <v>шт</v>
      </c>
      <c r="E314" s="169">
        <f>'таланты+инициативы0,262'!D403</f>
        <v>0.26200000000000001</v>
      </c>
    </row>
    <row r="315" spans="1:5" x14ac:dyDescent="0.25">
      <c r="A315" s="713"/>
      <c r="B315" s="714"/>
      <c r="C315" s="429" t="str">
        <f>'таланты+инициативы0,262'!A404</f>
        <v>винт головка полусфера 5*50</v>
      </c>
      <c r="D315" s="67" t="str">
        <f>'натур показатели патриотика'!D352</f>
        <v>шт</v>
      </c>
      <c r="E315" s="169">
        <f>'таланты+инициативы0,262'!D404</f>
        <v>45.588000000000001</v>
      </c>
    </row>
    <row r="316" spans="1:5" x14ac:dyDescent="0.25">
      <c r="A316" s="713"/>
      <c r="B316" s="714"/>
      <c r="C316" s="429" t="str">
        <f>'таланты+инициативы0,262'!A405</f>
        <v>винт головка полусфера 5*40</v>
      </c>
      <c r="D316" s="67" t="str">
        <f>'натур показатели патриотика'!D353</f>
        <v>шт</v>
      </c>
      <c r="E316" s="169">
        <f>'таланты+инициативы0,262'!D405</f>
        <v>18.077999999999999</v>
      </c>
    </row>
    <row r="317" spans="1:5" x14ac:dyDescent="0.25">
      <c r="A317" s="713"/>
      <c r="B317" s="714"/>
      <c r="C317" s="429" t="str">
        <f>'таланты+инициативы0,262'!A406</f>
        <v>винт головка полусфера 5*40</v>
      </c>
      <c r="D317" s="67" t="str">
        <f>'натур показатели патриотика'!D354</f>
        <v>шт</v>
      </c>
      <c r="E317" s="169">
        <f>'таланты+инициативы0,262'!D406</f>
        <v>18.602</v>
      </c>
    </row>
    <row r="318" spans="1:5" x14ac:dyDescent="0.25">
      <c r="A318" s="713"/>
      <c r="B318" s="714"/>
      <c r="C318" s="429" t="str">
        <f>'таланты+инициативы0,262'!A407</f>
        <v>сверло по металллу</v>
      </c>
      <c r="D318" s="67" t="str">
        <f>'натур показатели патриотика'!D355</f>
        <v>шт</v>
      </c>
      <c r="E318" s="169">
        <f>'таланты+инициативы0,262'!D407</f>
        <v>1.048</v>
      </c>
    </row>
    <row r="319" spans="1:5" x14ac:dyDescent="0.25">
      <c r="A319" s="713"/>
      <c r="B319" s="714"/>
      <c r="C319" s="429" t="str">
        <f>'таланты+инициативы0,262'!A408</f>
        <v>сверло по металллу 5*86</v>
      </c>
      <c r="D319" s="67" t="str">
        <f>'натур показатели патриотика'!D356</f>
        <v>шт</v>
      </c>
      <c r="E319" s="169">
        <f>'таланты+инициативы0,262'!D408</f>
        <v>1.048</v>
      </c>
    </row>
    <row r="320" spans="1:5" x14ac:dyDescent="0.25">
      <c r="A320" s="713"/>
      <c r="B320" s="714"/>
      <c r="C320" s="429" t="str">
        <f>'таланты+инициативы0,262'!A409</f>
        <v>петля накладная цинк</v>
      </c>
      <c r="D320" s="67" t="str">
        <f>'натур показатели патриотика'!D357</f>
        <v>шт</v>
      </c>
      <c r="E320" s="169">
        <f>'таланты+инициативы0,262'!D409</f>
        <v>0.52400000000000002</v>
      </c>
    </row>
    <row r="321" spans="1:5" x14ac:dyDescent="0.25">
      <c r="A321" s="713"/>
      <c r="B321" s="714"/>
      <c r="C321" s="429" t="str">
        <f>'таланты+инициативы0,262'!A410</f>
        <v>гайка со стоп кольцом</v>
      </c>
      <c r="D321" s="67" t="str">
        <f>'натур показатели патриотика'!D358</f>
        <v>шт</v>
      </c>
      <c r="E321" s="169">
        <f>'таланты+инициативы0,262'!D410</f>
        <v>82.268000000000001</v>
      </c>
    </row>
    <row r="322" spans="1:5" x14ac:dyDescent="0.25">
      <c r="A322" s="713"/>
      <c r="B322" s="714"/>
      <c r="C322" s="429" t="str">
        <f>'таланты+инициативы0,262'!A411</f>
        <v>шайба плоская</v>
      </c>
      <c r="D322" s="67" t="str">
        <f>'натур показатели патриотика'!D359</f>
        <v>шт</v>
      </c>
      <c r="E322" s="169">
        <f>'таланты+инициативы0,262'!D411</f>
        <v>164.536</v>
      </c>
    </row>
    <row r="323" spans="1:5" x14ac:dyDescent="0.25">
      <c r="A323" s="713"/>
      <c r="B323" s="714"/>
      <c r="C323" s="429" t="str">
        <f>'таланты+инициативы0,262'!A412</f>
        <v>сердцевина в замок</v>
      </c>
      <c r="D323" s="67" t="str">
        <f>'натур показатели патриотика'!D360</f>
        <v>шт</v>
      </c>
      <c r="E323" s="169">
        <f>'таланты+инициативы0,262'!D412</f>
        <v>0.52400000000000002</v>
      </c>
    </row>
    <row r="324" spans="1:5" x14ac:dyDescent="0.25">
      <c r="A324" s="713"/>
      <c r="B324" s="714"/>
      <c r="C324" s="429" t="str">
        <f>'таланты+инициативы0,262'!A413</f>
        <v>ограничитель напольный</v>
      </c>
      <c r="D324" s="67" t="str">
        <f>'натур показатели патриотика'!D361</f>
        <v>шт</v>
      </c>
      <c r="E324" s="169">
        <f>'таланты+инициативы0,262'!D413</f>
        <v>0.78600000000000003</v>
      </c>
    </row>
    <row r="325" spans="1:5" x14ac:dyDescent="0.25">
      <c r="A325" s="713"/>
      <c r="B325" s="714"/>
      <c r="C325" s="429" t="str">
        <f>'таланты+инициативы0,262'!A414</f>
        <v>обивка для двери эконом</v>
      </c>
      <c r="D325" s="67" t="str">
        <f>'натур показатели патриотика'!D362</f>
        <v>шт</v>
      </c>
      <c r="E325" s="169">
        <f>'таланты+инициативы0,262'!D414</f>
        <v>0.26200000000000001</v>
      </c>
    </row>
    <row r="326" spans="1:5" x14ac:dyDescent="0.25">
      <c r="A326" s="713"/>
      <c r="B326" s="714"/>
      <c r="C326" s="429" t="str">
        <f>'таланты+инициативы0,262'!A415</f>
        <v>щетка чашечная 0,3*60</v>
      </c>
      <c r="D326" s="67" t="str">
        <f>'натур показатели патриотика'!D363</f>
        <v>шт</v>
      </c>
      <c r="E326" s="169">
        <f>'таланты+инициативы0,262'!D415</f>
        <v>1.048</v>
      </c>
    </row>
    <row r="327" spans="1:5" x14ac:dyDescent="0.25">
      <c r="A327" s="713"/>
      <c r="B327" s="714"/>
      <c r="C327" s="429" t="str">
        <f>'таланты+инициативы0,262'!A416</f>
        <v>саморез с прессшайбой</v>
      </c>
      <c r="D327" s="67" t="str">
        <f>'натур показатели патриотика'!D364</f>
        <v>шт</v>
      </c>
      <c r="E327" s="169">
        <f>'таланты+инициативы0,262'!D416</f>
        <v>7.86</v>
      </c>
    </row>
    <row r="328" spans="1:5" x14ac:dyDescent="0.25">
      <c r="A328" s="713"/>
      <c r="B328" s="714"/>
      <c r="C328" s="429" t="str">
        <f>'таланты+инициативы0,262'!A417</f>
        <v>звонок беспроводной</v>
      </c>
      <c r="D328" s="67" t="str">
        <f>'натур показатели патриотика'!D365</f>
        <v>шт</v>
      </c>
      <c r="E328" s="169">
        <f>'таланты+инициативы0,262'!D417</f>
        <v>0.26200000000000001</v>
      </c>
    </row>
    <row r="329" spans="1:5" x14ac:dyDescent="0.25">
      <c r="A329" s="713"/>
      <c r="B329" s="714"/>
      <c r="C329" s="429" t="str">
        <f>'таланты+инициативы0,262'!A418</f>
        <v>кисть акор 75*12</v>
      </c>
      <c r="D329" s="67" t="str">
        <f>'натур показатели патриотика'!D366</f>
        <v>шт</v>
      </c>
      <c r="E329" s="169">
        <f>'таланты+инициативы0,262'!D418</f>
        <v>0.26200000000000001</v>
      </c>
    </row>
    <row r="330" spans="1:5" x14ac:dyDescent="0.25">
      <c r="A330" s="713"/>
      <c r="B330" s="714"/>
      <c r="C330" s="429" t="str">
        <f>'таланты+инициативы0,262'!A419</f>
        <v>кисть акор 50*10</v>
      </c>
      <c r="D330" s="67" t="str">
        <f>'натур показатели патриотика'!D367</f>
        <v>шт</v>
      </c>
      <c r="E330" s="169">
        <f>'таланты+инициативы0,262'!D419</f>
        <v>0.26200000000000001</v>
      </c>
    </row>
    <row r="331" spans="1:5" x14ac:dyDescent="0.25">
      <c r="A331" s="713"/>
      <c r="B331" s="714"/>
      <c r="C331" s="429" t="str">
        <f>'таланты+инициативы0,262'!A420</f>
        <v>клей момент-монтаж</v>
      </c>
      <c r="D331" s="67" t="str">
        <f>'натур показатели патриотика'!D368</f>
        <v>шт</v>
      </c>
      <c r="E331" s="169">
        <f>'таланты+инициативы0,262'!D420</f>
        <v>4.4540000000000006</v>
      </c>
    </row>
    <row r="332" spans="1:5" x14ac:dyDescent="0.25">
      <c r="A332" s="713"/>
      <c r="B332" s="714"/>
      <c r="C332" s="429" t="str">
        <f>'таланты+инициативы0,262'!A421</f>
        <v>эмаль-аэрозоль</v>
      </c>
      <c r="D332" s="67" t="str">
        <f>'натур показатели патриотика'!D369</f>
        <v>шт</v>
      </c>
      <c r="E332" s="169">
        <f>'таланты+инициативы0,262'!D421</f>
        <v>1.8340000000000001</v>
      </c>
    </row>
    <row r="333" spans="1:5" x14ac:dyDescent="0.25">
      <c r="A333" s="713"/>
      <c r="B333" s="714"/>
      <c r="C333" s="429" t="str">
        <f>'таланты+инициативы0,262'!A422</f>
        <v>аквалазурь</v>
      </c>
      <c r="D333" s="67" t="str">
        <f>'натур показатели патриотика'!D370</f>
        <v>шт</v>
      </c>
      <c r="E333" s="169">
        <f>'таланты+инициативы0,262'!D422</f>
        <v>0.26200000000000001</v>
      </c>
    </row>
    <row r="334" spans="1:5" x14ac:dyDescent="0.25">
      <c r="A334" s="713"/>
      <c r="B334" s="714"/>
      <c r="C334" s="429" t="str">
        <f>'таланты+инициативы0,262'!A423</f>
        <v>кисть акор 50*14</v>
      </c>
      <c r="D334" s="67" t="str">
        <f>'натур показатели патриотика'!D371</f>
        <v>шт</v>
      </c>
      <c r="E334" s="169">
        <f>'таланты+инициативы0,262'!D423</f>
        <v>0.26200000000000001</v>
      </c>
    </row>
    <row r="335" spans="1:5" x14ac:dyDescent="0.25">
      <c r="A335" s="713"/>
      <c r="B335" s="714"/>
      <c r="C335" s="429" t="str">
        <f>'таланты+инициативы0,262'!A424</f>
        <v>кисть акор 25*10</v>
      </c>
      <c r="D335" s="67" t="str">
        <f>'натур показатели патриотика'!D372</f>
        <v>шт</v>
      </c>
      <c r="E335" s="169">
        <f>'таланты+инициативы0,262'!D424</f>
        <v>0.26200000000000001</v>
      </c>
    </row>
    <row r="336" spans="1:5" x14ac:dyDescent="0.25">
      <c r="A336" s="713"/>
      <c r="B336" s="714"/>
      <c r="C336" s="429" t="str">
        <f>'таланты+инициативы0,262'!A425</f>
        <v>шуруп кольцо</v>
      </c>
      <c r="D336" s="67" t="str">
        <f>'натур показатели патриотика'!D373</f>
        <v>шт</v>
      </c>
      <c r="E336" s="169">
        <f>'таланты+инициативы0,262'!D425</f>
        <v>0.52400000000000002</v>
      </c>
    </row>
    <row r="337" spans="1:5" x14ac:dyDescent="0.25">
      <c r="A337" s="713"/>
      <c r="B337" s="714"/>
      <c r="C337" s="429" t="str">
        <f>'таланты+инициативы0,262'!A426</f>
        <v>болт шестигранник</v>
      </c>
      <c r="D337" s="67" t="str">
        <f>'натур показатели патриотика'!D374</f>
        <v>шт</v>
      </c>
      <c r="E337" s="169">
        <f>'таланты+инициативы0,262'!D426</f>
        <v>2.62</v>
      </c>
    </row>
    <row r="338" spans="1:5" x14ac:dyDescent="0.25">
      <c r="A338" s="713"/>
      <c r="B338" s="714"/>
      <c r="C338" s="429" t="str">
        <f>'таланты+инициативы0,262'!A427</f>
        <v>клей монтажный</v>
      </c>
      <c r="D338" s="67" t="str">
        <f>'натур показатели патриотика'!D375</f>
        <v>шт</v>
      </c>
      <c r="E338" s="169">
        <f>'таланты+инициативы0,262'!D427</f>
        <v>1.5720000000000001</v>
      </c>
    </row>
    <row r="339" spans="1:5" x14ac:dyDescent="0.25">
      <c r="A339" s="713"/>
      <c r="B339" s="714"/>
      <c r="C339" s="429" t="str">
        <f>'таланты+инициативы0,262'!A428</f>
        <v>лопата снеговая</v>
      </c>
      <c r="D339" s="67" t="str">
        <f>'натур показатели патриотика'!D376</f>
        <v>шт</v>
      </c>
      <c r="E339" s="169">
        <f>'таланты+инициативы0,262'!D428</f>
        <v>0.26200000000000001</v>
      </c>
    </row>
    <row r="340" spans="1:5" x14ac:dyDescent="0.25">
      <c r="A340" s="713"/>
      <c r="B340" s="714"/>
      <c r="C340" s="429" t="str">
        <f>'таланты+инициативы0,262'!A429</f>
        <v>универсальный колер</v>
      </c>
      <c r="D340" s="67" t="str">
        <f>'натур показатели патриотика'!D377</f>
        <v>шт</v>
      </c>
      <c r="E340" s="169">
        <f>'таланты+инициативы0,262'!D429</f>
        <v>0.78600000000000003</v>
      </c>
    </row>
    <row r="341" spans="1:5" x14ac:dyDescent="0.25">
      <c r="A341" s="713"/>
      <c r="B341" s="714"/>
      <c r="C341" s="429" t="str">
        <f>'таланты+инициативы0,262'!A430</f>
        <v>паста колеровочная</v>
      </c>
      <c r="D341" s="67" t="str">
        <f>'натур показатели патриотика'!D378</f>
        <v>шт</v>
      </c>
      <c r="E341" s="169">
        <f>'таланты+инициативы0,262'!D430</f>
        <v>0.26200000000000001</v>
      </c>
    </row>
    <row r="342" spans="1:5" x14ac:dyDescent="0.25">
      <c r="A342" s="713"/>
      <c r="B342" s="714"/>
      <c r="C342" s="429" t="str">
        <f>'таланты+инициативы0,262'!A431</f>
        <v>клей момент-монтаж</v>
      </c>
      <c r="D342" s="67" t="str">
        <f>'натур показатели патриотика'!D379</f>
        <v>шт</v>
      </c>
      <c r="E342" s="169">
        <f>'таланты+инициативы0,262'!D431</f>
        <v>0.52400000000000002</v>
      </c>
    </row>
    <row r="343" spans="1:5" x14ac:dyDescent="0.25">
      <c r="A343" s="713"/>
      <c r="B343" s="714"/>
      <c r="C343" s="429" t="str">
        <f>'таланты+инициативы0,262'!A432</f>
        <v>ГСМ УАЗ (Масло двигатель)</v>
      </c>
      <c r="D343" s="67" t="str">
        <f>'натур показатели патриотика'!D380</f>
        <v>шт</v>
      </c>
      <c r="E343" s="169">
        <f>'таланты+инициативы0,262'!D432</f>
        <v>0</v>
      </c>
    </row>
    <row r="344" spans="1:5" x14ac:dyDescent="0.25">
      <c r="A344" s="713"/>
      <c r="B344" s="714"/>
      <c r="C344" s="429" t="str">
        <f>'таланты+инициативы0,262'!A433</f>
        <v>Чернила Canon 135 мл черные</v>
      </c>
      <c r="D344" s="67" t="str">
        <f>'натур показатели патриотика'!D381</f>
        <v>шт</v>
      </c>
      <c r="E344" s="169">
        <f>'таланты+инициативы0,262'!D433</f>
        <v>0.78600000000000003</v>
      </c>
    </row>
    <row r="345" spans="1:5" x14ac:dyDescent="0.25">
      <c r="A345" s="713"/>
      <c r="B345" s="714"/>
      <c r="C345" s="429" t="str">
        <f>'таланты+инициативы0,262'!A434</f>
        <v>Чернила Canon 70 мл голубые</v>
      </c>
      <c r="D345" s="254" t="s">
        <v>82</v>
      </c>
      <c r="E345" s="169">
        <f>'таланты+инициативы0,262'!D434</f>
        <v>0.78600000000000003</v>
      </c>
    </row>
    <row r="346" spans="1:5" x14ac:dyDescent="0.25">
      <c r="A346" s="713"/>
      <c r="B346" s="714"/>
      <c r="C346" s="429" t="str">
        <f>'таланты+инициативы0,262'!A435</f>
        <v>Чернила Canon 70 мл урпур</v>
      </c>
      <c r="D346" s="254" t="s">
        <v>82</v>
      </c>
      <c r="E346" s="169">
        <f>'таланты+инициативы0,262'!D435</f>
        <v>0.78600000000000003</v>
      </c>
    </row>
    <row r="347" spans="1:5" x14ac:dyDescent="0.25">
      <c r="A347" s="713"/>
      <c r="B347" s="714"/>
      <c r="C347" s="429" t="str">
        <f>'таланты+инициативы0,262'!A436</f>
        <v>Чернила Canon 70 мл желтые</v>
      </c>
      <c r="D347" s="254" t="s">
        <v>82</v>
      </c>
      <c r="E347" s="169">
        <f>'таланты+инициативы0,262'!D436</f>
        <v>0.78600000000000003</v>
      </c>
    </row>
    <row r="348" spans="1:5" x14ac:dyDescent="0.25">
      <c r="A348" s="713"/>
      <c r="B348" s="714"/>
      <c r="C348" s="429" t="str">
        <f>'таланты+инициативы0,262'!A437</f>
        <v>батарейка ААА</v>
      </c>
      <c r="D348" s="254" t="s">
        <v>82</v>
      </c>
      <c r="E348" s="169">
        <f>'таланты+инициативы0,262'!D437</f>
        <v>26.200000000000003</v>
      </c>
    </row>
    <row r="349" spans="1:5" x14ac:dyDescent="0.25">
      <c r="A349" s="713"/>
      <c r="B349" s="714"/>
      <c r="C349" s="429" t="str">
        <f>'таланты+инициативы0,262'!A438</f>
        <v>батарейка АА</v>
      </c>
      <c r="D349" s="254" t="s">
        <v>82</v>
      </c>
      <c r="E349" s="169">
        <f>'таланты+инициативы0,262'!D438</f>
        <v>26.200000000000003</v>
      </c>
    </row>
    <row r="350" spans="1:5" x14ac:dyDescent="0.25">
      <c r="A350" s="713"/>
      <c r="B350" s="714"/>
      <c r="C350" s="429" t="str">
        <f>'таланты+инициативы0,262'!A439</f>
        <v>ГСМ Бензин</v>
      </c>
      <c r="D350" s="254" t="s">
        <v>82</v>
      </c>
      <c r="E350" s="169">
        <f>'таланты+инициативы0,262'!D439</f>
        <v>524</v>
      </c>
    </row>
    <row r="351" spans="1:5" x14ac:dyDescent="0.25">
      <c r="A351" s="713"/>
      <c r="B351" s="714"/>
      <c r="C351" s="429" t="str">
        <f>'таланты+инициативы0,262'!A440</f>
        <v>ГСМ Бензин</v>
      </c>
      <c r="D351" s="254" t="s">
        <v>82</v>
      </c>
      <c r="E351" s="169">
        <f>'таланты+инициативы0,262'!D440</f>
        <v>26.200000000000003</v>
      </c>
    </row>
    <row r="352" spans="1:5" x14ac:dyDescent="0.25">
      <c r="A352" s="713"/>
      <c r="B352" s="714"/>
      <c r="C352" s="429" t="str">
        <f>'таланты+инициативы0,262'!A441</f>
        <v>Профиль металлический</v>
      </c>
      <c r="D352" s="254" t="s">
        <v>82</v>
      </c>
      <c r="E352" s="169">
        <f>'таланты+инициативы0,262'!D441</f>
        <v>1.31</v>
      </c>
    </row>
    <row r="353" spans="1:5" x14ac:dyDescent="0.25">
      <c r="A353" s="713"/>
      <c r="B353" s="714"/>
      <c r="C353" s="429" t="str">
        <f>'таланты+инициативы0,262'!A442</f>
        <v>Цемент</v>
      </c>
      <c r="D353" s="254" t="s">
        <v>82</v>
      </c>
      <c r="E353" s="169">
        <f>'таланты+инициативы0,262'!D442</f>
        <v>0.52400000000000002</v>
      </c>
    </row>
    <row r="354" spans="1:5" x14ac:dyDescent="0.25">
      <c r="A354" s="713"/>
      <c r="B354" s="714"/>
      <c r="C354" s="429" t="str">
        <f>'таланты+инициативы0,262'!A443</f>
        <v>Саморезы</v>
      </c>
      <c r="D354" s="254" t="s">
        <v>82</v>
      </c>
      <c r="E354" s="169">
        <f>'таланты+инициативы0,262'!D443</f>
        <v>0.26200000000000001</v>
      </c>
    </row>
    <row r="355" spans="1:5" x14ac:dyDescent="0.25">
      <c r="A355" s="713"/>
      <c r="B355" s="714"/>
      <c r="C355" s="429" t="str">
        <f>'таланты+инициативы0,262'!A444</f>
        <v>Фанера 10 мм</v>
      </c>
      <c r="D355" s="254" t="s">
        <v>82</v>
      </c>
      <c r="E355" s="169">
        <f>'таланты+инициативы0,262'!D444</f>
        <v>1.5720000000000001</v>
      </c>
    </row>
    <row r="356" spans="1:5" x14ac:dyDescent="0.25">
      <c r="A356" s="713"/>
      <c r="B356" s="714"/>
      <c r="C356" s="429" t="str">
        <f>'таланты+инициативы0,262'!A445</f>
        <v>Перчатки, мешки</v>
      </c>
      <c r="D356" s="254" t="s">
        <v>82</v>
      </c>
      <c r="E356" s="169">
        <f>'таланты+инициативы0,262'!D445</f>
        <v>0.26200000000000001</v>
      </c>
    </row>
    <row r="357" spans="1:5" x14ac:dyDescent="0.25">
      <c r="A357" s="713"/>
      <c r="B357" s="714"/>
      <c r="C357" s="429" t="str">
        <f>'таланты+инициативы0,262'!A446</f>
        <v>Краска акриловая 10 л</v>
      </c>
      <c r="D357" s="254" t="s">
        <v>82</v>
      </c>
      <c r="E357" s="169">
        <f>'таланты+инициативы0,262'!D446</f>
        <v>0.52400000000000002</v>
      </c>
    </row>
    <row r="358" spans="1:5" x14ac:dyDescent="0.25">
      <c r="A358" s="713"/>
      <c r="B358" s="714"/>
      <c r="C358" s="429" t="str">
        <f>'таланты+инициативы0,262'!A447</f>
        <v>Колер для акриловой краски в ассортименте</v>
      </c>
      <c r="D358" s="254" t="s">
        <v>82</v>
      </c>
      <c r="E358" s="169">
        <f>'таланты+инициативы0,262'!D447</f>
        <v>2.62</v>
      </c>
    </row>
    <row r="359" spans="1:5" x14ac:dyDescent="0.25">
      <c r="A359" s="713"/>
      <c r="B359" s="714"/>
      <c r="C359" s="429" t="str">
        <f>'таланты+инициативы0,262'!A448</f>
        <v>Сверла, лезвия для лобзика</v>
      </c>
      <c r="D359" s="254" t="s">
        <v>82</v>
      </c>
      <c r="E359" s="169">
        <f>'таланты+инициативы0,262'!D448</f>
        <v>0.26200000000000001</v>
      </c>
    </row>
    <row r="360" spans="1:5" x14ac:dyDescent="0.25">
      <c r="A360" s="713"/>
      <c r="B360" s="714"/>
      <c r="C360" s="429" t="str">
        <f>'таланты+инициативы0,262'!A449</f>
        <v>Кабель бабина витая пара UTP, 4 пары Cat.5e outdoor (305 м)</v>
      </c>
      <c r="D360" s="254" t="s">
        <v>82</v>
      </c>
      <c r="E360" s="169">
        <f>'таланты+инициативы0,262'!D449</f>
        <v>0.52400000000000002</v>
      </c>
    </row>
    <row r="361" spans="1:5" x14ac:dyDescent="0.25">
      <c r="A361" s="713"/>
      <c r="B361" s="714"/>
      <c r="C361" s="429" t="str">
        <f>'таланты+инициативы0,262'!A450</f>
        <v>кабель витая пара</v>
      </c>
      <c r="D361" s="254" t="s">
        <v>82</v>
      </c>
      <c r="E361" s="169">
        <f>'таланты+инициативы0,262'!D450</f>
        <v>0.52400000000000002</v>
      </c>
    </row>
    <row r="362" spans="1:5" x14ac:dyDescent="0.25">
      <c r="A362" s="713"/>
      <c r="B362" s="714"/>
      <c r="C362" s="429" t="str">
        <f>'таланты+инициативы0,262'!A451</f>
        <v>Коннектор</v>
      </c>
      <c r="D362" s="254" t="s">
        <v>82</v>
      </c>
      <c r="E362" s="169">
        <f>'таланты+инициативы0,262'!D451</f>
        <v>0.26200000000000001</v>
      </c>
    </row>
    <row r="363" spans="1:5" x14ac:dyDescent="0.25">
      <c r="A363" s="713"/>
      <c r="B363" s="714"/>
      <c r="C363" s="429" t="str">
        <f>'таланты+инициативы0,262'!A452</f>
        <v xml:space="preserve">средства индивидуальной защиты и дезинфекционные средства </v>
      </c>
      <c r="D363" s="254" t="s">
        <v>82</v>
      </c>
      <c r="E363" s="169">
        <f>'таланты+инициативы0,262'!D452</f>
        <v>0.26</v>
      </c>
    </row>
    <row r="364" spans="1:5" x14ac:dyDescent="0.25">
      <c r="A364" s="713"/>
      <c r="B364" s="714"/>
      <c r="C364" s="429" t="str">
        <f>'таланты+инициативы0,262'!A453</f>
        <v>Гамак</v>
      </c>
      <c r="D364" s="254" t="s">
        <v>82</v>
      </c>
      <c r="E364" s="169">
        <f>'таланты+инициативы0,262'!D453</f>
        <v>1.5720000000000001</v>
      </c>
    </row>
    <row r="365" spans="1:5" x14ac:dyDescent="0.25">
      <c r="A365" s="713"/>
      <c r="B365" s="714"/>
      <c r="C365" s="111" t="str">
        <f>'натур показатели патриотика'!C402</f>
        <v>Будо-Мат EVA «Ласточкин Хвост» м2, толщина 2 см</v>
      </c>
      <c r="D365" s="254" t="s">
        <v>82</v>
      </c>
      <c r="E365" s="169">
        <f>'таланты+инициативы0,262'!D454</f>
        <v>10.48</v>
      </c>
    </row>
    <row r="366" spans="1:5" x14ac:dyDescent="0.25">
      <c r="A366" s="713"/>
      <c r="B366" s="714"/>
      <c r="C366" s="111" t="str">
        <f>'натур показатели патриотика'!C403</f>
        <v>Карабины металл</v>
      </c>
      <c r="D366" s="254" t="s">
        <v>82</v>
      </c>
      <c r="E366" s="169">
        <f>'таланты+инициативы0,262'!D455</f>
        <v>8.3840000000000003</v>
      </c>
    </row>
    <row r="367" spans="1:5" x14ac:dyDescent="0.25">
      <c r="A367" s="713"/>
      <c r="B367" s="714"/>
      <c r="C367" s="111" t="str">
        <f>'натур показатели патриотика'!C404</f>
        <v>Краска ВДК 4 л</v>
      </c>
      <c r="D367" s="254" t="s">
        <v>82</v>
      </c>
      <c r="E367" s="169">
        <f>'таланты+инициативы0,262'!D456</f>
        <v>1.5720000000000001</v>
      </c>
    </row>
    <row r="368" spans="1:5" x14ac:dyDescent="0.25">
      <c r="A368" s="713"/>
      <c r="B368" s="714"/>
      <c r="C368" s="111" t="str">
        <f>'натур показатели патриотика'!C405</f>
        <v>Коллер для краски ВДК</v>
      </c>
      <c r="D368" s="254" t="s">
        <v>82</v>
      </c>
      <c r="E368" s="169">
        <f>'таланты+инициативы0,262'!D457</f>
        <v>2.3580000000000001</v>
      </c>
    </row>
    <row r="369" spans="1:5" hidden="1" x14ac:dyDescent="0.25">
      <c r="A369" s="713"/>
      <c r="B369" s="714"/>
      <c r="C369" s="111">
        <f>'натур показатели патриотика'!C406</f>
        <v>0</v>
      </c>
      <c r="D369" s="254" t="s">
        <v>82</v>
      </c>
      <c r="E369" s="169">
        <f>'таланты+инициативы0,262'!D458</f>
        <v>0</v>
      </c>
    </row>
    <row r="370" spans="1:5" hidden="1" x14ac:dyDescent="0.25">
      <c r="A370" s="713"/>
      <c r="B370" s="714"/>
      <c r="C370" s="111">
        <f>'натур показатели патриотика'!C407</f>
        <v>0</v>
      </c>
      <c r="D370" s="254" t="s">
        <v>82</v>
      </c>
      <c r="E370" s="169">
        <f>'таланты+инициативы0,262'!D459</f>
        <v>0</v>
      </c>
    </row>
    <row r="371" spans="1:5" hidden="1" x14ac:dyDescent="0.25">
      <c r="A371" s="713"/>
      <c r="B371" s="714"/>
      <c r="C371" s="111">
        <f>'натур показатели патриотика'!C408</f>
        <v>0</v>
      </c>
      <c r="D371" s="254" t="s">
        <v>82</v>
      </c>
      <c r="E371" s="169">
        <f>'таланты+инициативы0,262'!D460</f>
        <v>0</v>
      </c>
    </row>
    <row r="372" spans="1:5" hidden="1" x14ac:dyDescent="0.25">
      <c r="A372" s="713"/>
      <c r="B372" s="714"/>
      <c r="C372" s="111">
        <f>'натур показатели патриотика'!C409</f>
        <v>0</v>
      </c>
      <c r="D372" s="254" t="s">
        <v>82</v>
      </c>
      <c r="E372" s="169">
        <f>'таланты+инициативы0,262'!D461</f>
        <v>0</v>
      </c>
    </row>
    <row r="373" spans="1:5" hidden="1" x14ac:dyDescent="0.25">
      <c r="A373" s="713"/>
      <c r="B373" s="714"/>
      <c r="C373" s="111">
        <f>'натур показатели патриотика'!C410</f>
        <v>0</v>
      </c>
      <c r="D373" s="254" t="s">
        <v>82</v>
      </c>
      <c r="E373" s="169">
        <f>'таланты+инициативы0,262'!D462</f>
        <v>0</v>
      </c>
    </row>
    <row r="374" spans="1:5" hidden="1" x14ac:dyDescent="0.25">
      <c r="A374" s="713"/>
      <c r="B374" s="714"/>
      <c r="C374" s="111">
        <f>'натур показатели патриотика'!C411</f>
        <v>0</v>
      </c>
      <c r="D374" s="254" t="s">
        <v>82</v>
      </c>
      <c r="E374" s="169">
        <f>'таланты+инициативы0,262'!D463</f>
        <v>0</v>
      </c>
    </row>
    <row r="375" spans="1:5" hidden="1" x14ac:dyDescent="0.25">
      <c r="A375" s="713"/>
      <c r="B375" s="714"/>
      <c r="C375" s="111">
        <f>'натур показатели патриотика'!C412</f>
        <v>0</v>
      </c>
      <c r="D375" s="254" t="s">
        <v>82</v>
      </c>
      <c r="E375" s="169">
        <f>'таланты+инициативы0,262'!D464</f>
        <v>0</v>
      </c>
    </row>
    <row r="376" spans="1:5" hidden="1" x14ac:dyDescent="0.25">
      <c r="A376" s="713"/>
      <c r="B376" s="714"/>
      <c r="C376" s="111">
        <f>'натур показатели патриотика'!C413</f>
        <v>0</v>
      </c>
      <c r="D376" s="254" t="s">
        <v>82</v>
      </c>
      <c r="E376" s="169">
        <f>'таланты+инициативы0,262'!D465</f>
        <v>0</v>
      </c>
    </row>
    <row r="377" spans="1:5" hidden="1" x14ac:dyDescent="0.25">
      <c r="A377" s="713"/>
      <c r="B377" s="714"/>
      <c r="C377" s="111">
        <f>'натур показатели патриотика'!C414</f>
        <v>0</v>
      </c>
      <c r="D377" s="254" t="s">
        <v>82</v>
      </c>
      <c r="E377" s="169">
        <f>'таланты+инициативы0,262'!D466</f>
        <v>0</v>
      </c>
    </row>
    <row r="378" spans="1:5" hidden="1" x14ac:dyDescent="0.25">
      <c r="A378" s="713"/>
      <c r="B378" s="714"/>
      <c r="C378" s="111">
        <f>'натур показатели патриотика'!C415</f>
        <v>0</v>
      </c>
      <c r="D378" s="254" t="s">
        <v>82</v>
      </c>
      <c r="E378" s="169">
        <f>'таланты+инициативы0,262'!D467</f>
        <v>0</v>
      </c>
    </row>
    <row r="379" spans="1:5" hidden="1" x14ac:dyDescent="0.25">
      <c r="A379" s="713"/>
      <c r="B379" s="714"/>
      <c r="C379" s="111">
        <f>'натур показатели патриотика'!C416</f>
        <v>0</v>
      </c>
      <c r="D379" s="254" t="s">
        <v>82</v>
      </c>
      <c r="E379" s="169">
        <f>'таланты+инициативы0,262'!D468</f>
        <v>0</v>
      </c>
    </row>
    <row r="380" spans="1:5" hidden="1" x14ac:dyDescent="0.25">
      <c r="A380" s="713"/>
      <c r="B380" s="714"/>
      <c r="C380" s="111">
        <f>'натур показатели патриотика'!C417</f>
        <v>0</v>
      </c>
      <c r="D380" s="254" t="s">
        <v>82</v>
      </c>
      <c r="E380" s="169">
        <f>'таланты+инициативы0,262'!D469</f>
        <v>0</v>
      </c>
    </row>
    <row r="381" spans="1:5" hidden="1" x14ac:dyDescent="0.25">
      <c r="A381" s="713"/>
      <c r="B381" s="714"/>
      <c r="C381" s="111">
        <f>'натур показатели патриотика'!C418</f>
        <v>0</v>
      </c>
      <c r="D381" s="254" t="s">
        <v>82</v>
      </c>
      <c r="E381" s="169">
        <f>'таланты+инициативы0,262'!D470</f>
        <v>0</v>
      </c>
    </row>
    <row r="382" spans="1:5" hidden="1" x14ac:dyDescent="0.25">
      <c r="A382" s="713"/>
      <c r="B382" s="714"/>
      <c r="C382" s="111">
        <f>'натур показатели патриотика'!C419</f>
        <v>0</v>
      </c>
      <c r="D382" s="254" t="s">
        <v>82</v>
      </c>
      <c r="E382" s="169">
        <f>'таланты+инициативы0,262'!D471</f>
        <v>0</v>
      </c>
    </row>
    <row r="383" spans="1:5" hidden="1" x14ac:dyDescent="0.25">
      <c r="A383" s="713"/>
      <c r="B383" s="714"/>
    </row>
    <row r="384" spans="1:5" hidden="1" x14ac:dyDescent="0.25">
      <c r="A384" s="713"/>
      <c r="B384" s="714"/>
    </row>
  </sheetData>
  <mergeCells count="18">
    <mergeCell ref="C120:E120"/>
    <mergeCell ref="C128:E128"/>
    <mergeCell ref="C133:E133"/>
    <mergeCell ref="C135:E135"/>
    <mergeCell ref="A7:A384"/>
    <mergeCell ref="B7:B384"/>
    <mergeCell ref="C11:E11"/>
    <mergeCell ref="C15:E15"/>
    <mergeCell ref="C76:E76"/>
    <mergeCell ref="C139:E139"/>
    <mergeCell ref="C141:E141"/>
    <mergeCell ref="C77:E77"/>
    <mergeCell ref="C84:E84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2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80"/>
  <sheetViews>
    <sheetView tabSelected="1" topLeftCell="A423" zoomScale="85" zoomScaleNormal="85" zoomScaleSheetLayoutView="85" zoomScalePageLayoutView="70" workbookViewId="0">
      <selection sqref="A1:I478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6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31" t="str">
        <f>'патриотика0,369'!A1</f>
        <v>Учреждение: Муниципальное бюджетное учреждение  «Молодежный центр » Северо- Енисейского района</v>
      </c>
      <c r="B1" s="731"/>
      <c r="C1" s="731"/>
      <c r="D1" s="731"/>
      <c r="E1" s="731"/>
      <c r="F1" s="731"/>
      <c r="G1" s="731"/>
      <c r="H1" s="731"/>
      <c r="I1" s="731"/>
    </row>
    <row r="2" spans="1:9" ht="16.5" x14ac:dyDescent="0.25">
      <c r="A2" s="337" t="s">
        <v>505</v>
      </c>
      <c r="B2" s="337"/>
      <c r="C2" s="337"/>
      <c r="D2" s="337"/>
      <c r="E2" s="337"/>
      <c r="F2" s="337"/>
      <c r="G2" s="337"/>
      <c r="H2" s="337"/>
      <c r="I2" s="337"/>
    </row>
    <row r="3" spans="1:9" ht="58.15" customHeight="1" x14ac:dyDescent="0.25">
      <c r="A3" s="85" t="s">
        <v>209</v>
      </c>
      <c r="B3" s="732" t="s">
        <v>123</v>
      </c>
      <c r="C3" s="732"/>
      <c r="D3" s="732"/>
      <c r="E3" s="732"/>
      <c r="F3" s="732"/>
      <c r="G3" s="732"/>
      <c r="H3" s="732"/>
      <c r="I3" s="732"/>
    </row>
    <row r="4" spans="1:9" ht="15.75" x14ac:dyDescent="0.25">
      <c r="A4" s="691" t="s">
        <v>260</v>
      </c>
      <c r="B4" s="691"/>
      <c r="C4" s="691"/>
      <c r="D4" s="691"/>
      <c r="E4" s="691"/>
      <c r="F4" s="7"/>
      <c r="G4" s="168"/>
      <c r="H4" s="7"/>
      <c r="I4" s="7"/>
    </row>
    <row r="5" spans="1:9" ht="15.75" x14ac:dyDescent="0.25">
      <c r="A5" s="692" t="s">
        <v>41</v>
      </c>
      <c r="B5" s="692"/>
      <c r="C5" s="692"/>
      <c r="D5" s="692"/>
      <c r="E5" s="692"/>
      <c r="F5" s="7"/>
      <c r="G5" s="168"/>
      <c r="H5" s="7"/>
      <c r="I5" s="7"/>
    </row>
    <row r="6" spans="1:9" ht="15.75" x14ac:dyDescent="0.25">
      <c r="A6" s="692" t="s">
        <v>197</v>
      </c>
      <c r="B6" s="692"/>
      <c r="C6" s="692"/>
      <c r="D6" s="692"/>
      <c r="E6" s="692"/>
      <c r="F6" s="7"/>
      <c r="G6" s="168"/>
      <c r="H6" s="7"/>
      <c r="I6" s="7"/>
    </row>
    <row r="7" spans="1:9" ht="15.75" x14ac:dyDescent="0.25">
      <c r="A7" s="586" t="s">
        <v>211</v>
      </c>
      <c r="B7" s="586"/>
      <c r="C7" s="586"/>
      <c r="D7" s="586"/>
      <c r="E7" s="586"/>
      <c r="F7" s="7"/>
      <c r="G7" s="168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587" t="s">
        <v>10</v>
      </c>
      <c r="E8" s="588"/>
      <c r="F8" s="283" t="s">
        <v>9</v>
      </c>
      <c r="G8" s="168"/>
      <c r="H8" s="7"/>
      <c r="I8" s="7"/>
    </row>
    <row r="9" spans="1:9" ht="15.75" x14ac:dyDescent="0.25">
      <c r="A9" s="102"/>
      <c r="B9" s="331"/>
      <c r="C9" s="331"/>
      <c r="D9" s="589" t="str">
        <f>'инновации+добровольчество0,369'!D10:E10</f>
        <v>Заведующий МЦ</v>
      </c>
      <c r="E9" s="590"/>
      <c r="F9" s="70">
        <v>1</v>
      </c>
      <c r="G9" s="168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31">
        <v>5.6</v>
      </c>
      <c r="C10" s="331"/>
      <c r="D10" s="591" t="str">
        <f>'[1]2016'!$AE$25</f>
        <v>Водитель</v>
      </c>
      <c r="E10" s="592"/>
      <c r="F10" s="331">
        <v>1</v>
      </c>
      <c r="G10" s="168"/>
      <c r="H10" s="7"/>
      <c r="I10" s="7"/>
    </row>
    <row r="11" spans="1:9" ht="15.75" x14ac:dyDescent="0.25">
      <c r="A11" s="68" t="s">
        <v>91</v>
      </c>
      <c r="B11" s="331">
        <v>1</v>
      </c>
      <c r="C11" s="331"/>
      <c r="D11" s="591" t="s">
        <v>85</v>
      </c>
      <c r="E11" s="592"/>
      <c r="F11" s="331">
        <v>0.5</v>
      </c>
      <c r="G11" s="168"/>
      <c r="H11" s="7"/>
      <c r="I11" s="7"/>
    </row>
    <row r="12" spans="1:9" ht="15.75" x14ac:dyDescent="0.25">
      <c r="A12" s="102"/>
      <c r="B12" s="331"/>
      <c r="C12" s="331"/>
      <c r="D12" s="591" t="str">
        <f>'[1]2016'!$AE$26</f>
        <v xml:space="preserve">Уборщик служебных помещений </v>
      </c>
      <c r="E12" s="592"/>
      <c r="F12" s="331">
        <v>1</v>
      </c>
      <c r="G12" s="168"/>
      <c r="H12" s="7"/>
      <c r="I12" s="7"/>
    </row>
    <row r="13" spans="1:9" ht="15.75" x14ac:dyDescent="0.25">
      <c r="A13" s="71" t="s">
        <v>55</v>
      </c>
      <c r="B13" s="72">
        <f>SUM(B9:B11)</f>
        <v>6.6</v>
      </c>
      <c r="C13" s="71"/>
      <c r="D13" s="593" t="s">
        <v>55</v>
      </c>
      <c r="E13" s="594"/>
      <c r="F13" s="72">
        <f>SUM(F9:F12)</f>
        <v>3.5</v>
      </c>
      <c r="G13" s="168"/>
      <c r="H13" s="7"/>
      <c r="I13" s="7"/>
    </row>
    <row r="14" spans="1:9" ht="36" customHeight="1" x14ac:dyDescent="0.25">
      <c r="A14" s="697" t="s">
        <v>210</v>
      </c>
      <c r="B14" s="697"/>
      <c r="C14" s="697"/>
      <c r="D14" s="697"/>
      <c r="E14" s="697"/>
      <c r="F14" s="697"/>
      <c r="G14" s="697"/>
      <c r="H14" s="697"/>
      <c r="I14" s="697"/>
    </row>
    <row r="15" spans="1:9" ht="15.75" x14ac:dyDescent="0.25">
      <c r="A15" s="700" t="s">
        <v>261</v>
      </c>
      <c r="B15" s="700"/>
      <c r="C15" s="700"/>
      <c r="D15" s="700"/>
      <c r="E15" s="700"/>
      <c r="F15" s="700"/>
      <c r="G15" s="168"/>
      <c r="H15" s="7"/>
      <c r="I15" s="7"/>
    </row>
    <row r="16" spans="1:9" ht="15.75" x14ac:dyDescent="0.25">
      <c r="A16" s="10" t="s">
        <v>262</v>
      </c>
      <c r="B16" s="10"/>
      <c r="C16" s="10"/>
      <c r="D16" s="10"/>
      <c r="E16" s="7"/>
      <c r="F16" s="7"/>
      <c r="G16" s="168"/>
      <c r="H16" s="7"/>
      <c r="I16" s="7"/>
    </row>
    <row r="17" spans="1:12" ht="30" customHeight="1" x14ac:dyDescent="0.25">
      <c r="A17" s="701" t="s">
        <v>43</v>
      </c>
      <c r="B17" s="701"/>
      <c r="C17" s="701"/>
      <c r="D17" s="701"/>
      <c r="E17" s="701"/>
      <c r="F17" s="701"/>
      <c r="G17" s="168"/>
      <c r="H17" s="7"/>
      <c r="I17" s="7"/>
    </row>
    <row r="18" spans="1:12" ht="15.75" x14ac:dyDescent="0.25">
      <c r="A18" s="699"/>
      <c r="B18" s="699"/>
      <c r="C18" s="329"/>
      <c r="D18" s="157">
        <v>0.26200000000000001</v>
      </c>
      <c r="E18" s="157"/>
      <c r="F18" s="7"/>
      <c r="G18" s="168"/>
      <c r="H18" s="7"/>
      <c r="I18" s="7"/>
    </row>
    <row r="19" spans="1:12" ht="31.5" x14ac:dyDescent="0.25">
      <c r="A19" s="670" t="s">
        <v>0</v>
      </c>
      <c r="B19" s="670" t="s">
        <v>1</v>
      </c>
      <c r="C19" s="321"/>
      <c r="D19" s="670" t="s">
        <v>2</v>
      </c>
      <c r="E19" s="671" t="s">
        <v>3</v>
      </c>
      <c r="F19" s="672"/>
      <c r="G19" s="733" t="s">
        <v>35</v>
      </c>
      <c r="H19" s="321" t="s">
        <v>5</v>
      </c>
      <c r="I19" s="670" t="s">
        <v>6</v>
      </c>
    </row>
    <row r="20" spans="1:12" ht="15.75" x14ac:dyDescent="0.25">
      <c r="A20" s="670"/>
      <c r="B20" s="670"/>
      <c r="C20" s="321"/>
      <c r="D20" s="670"/>
      <c r="E20" s="321" t="s">
        <v>264</v>
      </c>
      <c r="F20" s="694" t="s">
        <v>263</v>
      </c>
      <c r="G20" s="733"/>
      <c r="H20" s="302" t="s">
        <v>169</v>
      </c>
      <c r="I20" s="670"/>
    </row>
    <row r="21" spans="1:12" ht="15.75" x14ac:dyDescent="0.25">
      <c r="A21" s="670"/>
      <c r="B21" s="670"/>
      <c r="C21" s="321"/>
      <c r="D21" s="670"/>
      <c r="E21" s="321" t="s">
        <v>4</v>
      </c>
      <c r="F21" s="695"/>
      <c r="G21" s="733"/>
      <c r="H21" s="321" t="s">
        <v>266</v>
      </c>
      <c r="I21" s="670"/>
    </row>
    <row r="22" spans="1:12" ht="15.75" x14ac:dyDescent="0.25">
      <c r="A22" s="670">
        <v>1</v>
      </c>
      <c r="B22" s="670">
        <v>2</v>
      </c>
      <c r="C22" s="321"/>
      <c r="D22" s="670">
        <v>3</v>
      </c>
      <c r="E22" s="670" t="s">
        <v>265</v>
      </c>
      <c r="F22" s="670">
        <v>5</v>
      </c>
      <c r="G22" s="564" t="s">
        <v>7</v>
      </c>
      <c r="H22" s="302" t="s">
        <v>170</v>
      </c>
      <c r="I22" s="563" t="s">
        <v>171</v>
      </c>
    </row>
    <row r="23" spans="1:12" ht="15.75" x14ac:dyDescent="0.25">
      <c r="A23" s="670"/>
      <c r="B23" s="670"/>
      <c r="C23" s="321"/>
      <c r="D23" s="670"/>
      <c r="E23" s="670"/>
      <c r="F23" s="670"/>
      <c r="G23" s="564"/>
      <c r="H23" s="54">
        <v>1774.4</v>
      </c>
      <c r="I23" s="563"/>
      <c r="J23" s="181">
        <f>I26+I145</f>
        <v>1978075.1131939203</v>
      </c>
      <c r="K23" s="182"/>
      <c r="L23" s="7"/>
    </row>
    <row r="24" spans="1:12" ht="15.75" x14ac:dyDescent="0.25">
      <c r="A24" s="73" t="str">
        <f>'патриотика0,369'!A24</f>
        <v>Методист</v>
      </c>
      <c r="B24" s="86">
        <v>63788.2</v>
      </c>
      <c r="C24" s="86"/>
      <c r="D24" s="321">
        <f>1*D18</f>
        <v>0.26200000000000001</v>
      </c>
      <c r="E24" s="74">
        <f>D24*1774.4</f>
        <v>464.89280000000002</v>
      </c>
      <c r="F24" s="75">
        <v>1</v>
      </c>
      <c r="G24" s="77">
        <f>E24/F24</f>
        <v>464.89280000000002</v>
      </c>
      <c r="H24" s="74">
        <f>B24*1.302/1774.4*12</f>
        <v>561.66976825969334</v>
      </c>
      <c r="I24" s="74">
        <f>G24*H24</f>
        <v>261116.23124159998</v>
      </c>
      <c r="J24" s="7">
        <v>1978075.11</v>
      </c>
      <c r="K24" s="181" t="s">
        <v>103</v>
      </c>
      <c r="L24" s="7"/>
    </row>
    <row r="25" spans="1:12" ht="15.75" x14ac:dyDescent="0.25">
      <c r="A25" s="76" t="str">
        <f>A10</f>
        <v>Специалист по работе с молодежью</v>
      </c>
      <c r="B25" s="180">
        <v>45482.5</v>
      </c>
      <c r="C25" s="180"/>
      <c r="D25" s="321">
        <f>D18*5.6</f>
        <v>1.4672000000000001</v>
      </c>
      <c r="E25" s="74">
        <f>D25*1774.4</f>
        <v>2603.3996800000004</v>
      </c>
      <c r="F25" s="75">
        <v>1</v>
      </c>
      <c r="G25" s="77">
        <f>E25/F25</f>
        <v>2603.3996800000004</v>
      </c>
      <c r="H25" s="74">
        <f>B25*1.302/1774.4*12</f>
        <v>400.48387060414791</v>
      </c>
      <c r="I25" s="74">
        <f>G25*H25+33806.1</f>
        <v>1076425.6805760004</v>
      </c>
      <c r="J25" s="168">
        <f>J23-J24</f>
        <v>3.1939202453941107E-3</v>
      </c>
      <c r="K25" s="181" t="s">
        <v>115</v>
      </c>
      <c r="L25" s="7"/>
    </row>
    <row r="26" spans="1:12" ht="18.75" x14ac:dyDescent="0.3">
      <c r="A26" s="73" t="s">
        <v>90</v>
      </c>
      <c r="B26" s="77"/>
      <c r="C26" s="77"/>
      <c r="D26" s="321"/>
      <c r="E26" s="74"/>
      <c r="F26" s="75"/>
      <c r="G26" s="188"/>
      <c r="H26" s="161"/>
      <c r="I26" s="265">
        <f>SUM(I24:I25)</f>
        <v>1337541.9118176003</v>
      </c>
      <c r="L26" s="186"/>
    </row>
    <row r="27" spans="1:12" s="7" customFormat="1" ht="16.5" hidden="1" x14ac:dyDescent="0.25">
      <c r="A27" s="617" t="s">
        <v>164</v>
      </c>
      <c r="B27" s="617"/>
      <c r="C27" s="617"/>
      <c r="D27" s="617"/>
      <c r="E27" s="617"/>
      <c r="F27" s="617"/>
      <c r="G27" s="617"/>
      <c r="H27" s="617"/>
      <c r="I27" s="183"/>
      <c r="J27" s="181"/>
      <c r="K27" s="182"/>
    </row>
    <row r="28" spans="1:12" s="7" customFormat="1" ht="16.5" hidden="1" x14ac:dyDescent="0.25">
      <c r="A28" s="566" t="s">
        <v>58</v>
      </c>
      <c r="B28" s="596" t="s">
        <v>153</v>
      </c>
      <c r="C28" s="596"/>
      <c r="D28" s="596" t="s">
        <v>154</v>
      </c>
      <c r="E28" s="596"/>
      <c r="F28" s="596"/>
      <c r="G28" s="597"/>
      <c r="H28" s="597"/>
      <c r="I28" s="183"/>
      <c r="J28" s="181"/>
      <c r="K28" s="182"/>
    </row>
    <row r="29" spans="1:12" s="7" customFormat="1" ht="16.5" hidden="1" x14ac:dyDescent="0.25">
      <c r="A29" s="567"/>
      <c r="B29" s="596"/>
      <c r="C29" s="596"/>
      <c r="D29" s="596" t="s">
        <v>155</v>
      </c>
      <c r="E29" s="566" t="s">
        <v>156</v>
      </c>
      <c r="F29" s="598" t="s">
        <v>157</v>
      </c>
      <c r="G29" s="566" t="s">
        <v>163</v>
      </c>
      <c r="H29" s="566" t="s">
        <v>6</v>
      </c>
      <c r="I29" s="183"/>
      <c r="J29" s="181"/>
      <c r="K29" s="182"/>
    </row>
    <row r="30" spans="1:12" s="7" customFormat="1" ht="16.5" hidden="1" x14ac:dyDescent="0.25">
      <c r="A30" s="568"/>
      <c r="B30" s="596"/>
      <c r="C30" s="596"/>
      <c r="D30" s="596"/>
      <c r="E30" s="568"/>
      <c r="F30" s="598"/>
      <c r="G30" s="568"/>
      <c r="H30" s="568"/>
      <c r="I30" s="183"/>
      <c r="J30" s="181"/>
      <c r="K30" s="182"/>
    </row>
    <row r="31" spans="1:12" s="7" customFormat="1" ht="16.5" hidden="1" x14ac:dyDescent="0.25">
      <c r="A31" s="292">
        <v>1</v>
      </c>
      <c r="B31" s="580">
        <v>2</v>
      </c>
      <c r="C31" s="581"/>
      <c r="D31" s="292">
        <v>3</v>
      </c>
      <c r="E31" s="292">
        <v>4</v>
      </c>
      <c r="F31" s="292">
        <v>5</v>
      </c>
      <c r="G31" s="292">
        <v>6</v>
      </c>
      <c r="H31" s="292">
        <v>7</v>
      </c>
      <c r="I31" s="183"/>
      <c r="J31" s="181"/>
      <c r="K31" s="182"/>
    </row>
    <row r="32" spans="1:12" s="7" customFormat="1" ht="16.5" hidden="1" x14ac:dyDescent="0.25">
      <c r="A32" s="290" t="s">
        <v>91</v>
      </c>
      <c r="B32" s="290">
        <v>0.24</v>
      </c>
      <c r="C32" s="291">
        <v>1</v>
      </c>
      <c r="D32" s="151">
        <v>2074.6</v>
      </c>
      <c r="E32" s="112">
        <f t="shared" ref="E32:E33" si="0">D32*12</f>
        <v>24895.199999999997</v>
      </c>
      <c r="F32" s="151">
        <f>18363.9*0.24</f>
        <v>4407.3360000000002</v>
      </c>
      <c r="G32" s="184">
        <f>F32*30.2%</f>
        <v>1331.015472</v>
      </c>
      <c r="H32" s="184">
        <f>F32+G32</f>
        <v>5738.3514720000003</v>
      </c>
      <c r="I32" s="183"/>
    </row>
    <row r="33" spans="1:11" s="7" customFormat="1" ht="15.6" hidden="1" customHeight="1" x14ac:dyDescent="0.25">
      <c r="A33" s="290" t="s">
        <v>159</v>
      </c>
      <c r="B33" s="580">
        <f>5.6*0.24</f>
        <v>1.3439999999999999</v>
      </c>
      <c r="C33" s="581"/>
      <c r="D33" s="151">
        <f>1302.85*B33</f>
        <v>1751.0303999999996</v>
      </c>
      <c r="E33" s="112">
        <f t="shared" si="0"/>
        <v>21012.364799999996</v>
      </c>
      <c r="F33" s="151">
        <f>64311.87*0.24</f>
        <v>15434.8488</v>
      </c>
      <c r="G33" s="184">
        <f>F33*30.2%</f>
        <v>4661.3243376</v>
      </c>
      <c r="H33" s="184">
        <f>F33+G33</f>
        <v>20096.173137599999</v>
      </c>
    </row>
    <row r="34" spans="1:11" s="7" customFormat="1" ht="18.75" hidden="1" x14ac:dyDescent="0.25">
      <c r="A34" s="288"/>
      <c r="B34" s="595">
        <f>SUM(B32:C33)</f>
        <v>2.5839999999999996</v>
      </c>
      <c r="C34" s="595"/>
      <c r="D34" s="128">
        <f>SUM(D32:D33)</f>
        <v>3825.6303999999996</v>
      </c>
      <c r="E34" s="128">
        <f>SUM(E32:E33)</f>
        <v>45907.564799999993</v>
      </c>
      <c r="F34" s="128">
        <f>SUM(F32:F33)</f>
        <v>19842.184799999999</v>
      </c>
      <c r="G34" s="128">
        <f>SUM(G32:G33)</f>
        <v>5992.3398096000001</v>
      </c>
      <c r="H34" s="224"/>
      <c r="I34" s="168"/>
    </row>
    <row r="35" spans="1:11" ht="14.45" hidden="1" customHeight="1" x14ac:dyDescent="0.25">
      <c r="A35" s="617" t="s">
        <v>168</v>
      </c>
      <c r="B35" s="617"/>
      <c r="C35" s="617"/>
      <c r="D35" s="617"/>
      <c r="E35" s="617"/>
      <c r="F35" s="617"/>
      <c r="G35" s="617"/>
      <c r="H35" s="617"/>
      <c r="I35" s="152"/>
      <c r="J35" s="152"/>
    </row>
    <row r="36" spans="1:11" ht="28.9" hidden="1" customHeight="1" x14ac:dyDescent="0.25">
      <c r="A36" s="566" t="s">
        <v>58</v>
      </c>
      <c r="B36" s="596" t="s">
        <v>153</v>
      </c>
      <c r="C36" s="596"/>
      <c r="D36" s="575" t="s">
        <v>154</v>
      </c>
      <c r="E36" s="577"/>
      <c r="F36" s="293"/>
      <c r="G36" s="45"/>
    </row>
    <row r="37" spans="1:11" ht="14.45" hidden="1" customHeight="1" x14ac:dyDescent="0.25">
      <c r="A37" s="567"/>
      <c r="B37" s="596"/>
      <c r="C37" s="596"/>
      <c r="D37" s="596" t="s">
        <v>155</v>
      </c>
      <c r="E37" s="566" t="s">
        <v>163</v>
      </c>
      <c r="F37" s="566" t="s">
        <v>167</v>
      </c>
      <c r="G37" s="45"/>
    </row>
    <row r="38" spans="1:11" hidden="1" x14ac:dyDescent="0.25">
      <c r="A38" s="568"/>
      <c r="B38" s="596"/>
      <c r="C38" s="596"/>
      <c r="D38" s="596"/>
      <c r="E38" s="568"/>
      <c r="F38" s="568"/>
      <c r="G38" s="45"/>
    </row>
    <row r="39" spans="1:11" hidden="1" x14ac:dyDescent="0.25">
      <c r="A39" s="292">
        <v>1</v>
      </c>
      <c r="B39" s="580">
        <v>2</v>
      </c>
      <c r="C39" s="581"/>
      <c r="D39" s="292">
        <v>3</v>
      </c>
      <c r="E39" s="292">
        <v>6</v>
      </c>
      <c r="F39" s="292">
        <v>7</v>
      </c>
      <c r="G39" s="45"/>
    </row>
    <row r="40" spans="1:11" hidden="1" x14ac:dyDescent="0.25">
      <c r="A40" s="290" t="s">
        <v>159</v>
      </c>
      <c r="B40" s="580">
        <f>B33</f>
        <v>1.3439999999999999</v>
      </c>
      <c r="C40" s="581"/>
      <c r="D40" s="151">
        <v>4218.1400000000003</v>
      </c>
      <c r="E40" s="184">
        <f>D40*30.2%</f>
        <v>1273.8782800000001</v>
      </c>
      <c r="F40" s="184">
        <f>(E40+D40)*B40*12+8.27</f>
        <v>88583.540819839996</v>
      </c>
      <c r="G40" s="45"/>
    </row>
    <row r="41" spans="1:11" ht="18.75" hidden="1" x14ac:dyDescent="0.25">
      <c r="A41" s="288"/>
      <c r="B41" s="595">
        <f>SUM(B40:C40)</f>
        <v>1.3439999999999999</v>
      </c>
      <c r="C41" s="595"/>
      <c r="D41" s="128">
        <f>SUM(D40:D40)</f>
        <v>4218.1400000000003</v>
      </c>
      <c r="E41" s="128">
        <f>SUM(E40:E40)</f>
        <v>1273.8782800000001</v>
      </c>
      <c r="F41" s="224"/>
      <c r="G41" s="45"/>
    </row>
    <row r="42" spans="1:11" ht="15.75" hidden="1" x14ac:dyDescent="0.25">
      <c r="A42" s="697" t="s">
        <v>57</v>
      </c>
      <c r="B42" s="697"/>
      <c r="C42" s="697"/>
      <c r="D42" s="697"/>
      <c r="E42" s="697"/>
      <c r="F42" s="697"/>
      <c r="G42" s="168"/>
      <c r="H42" s="7"/>
      <c r="I42" s="7"/>
    </row>
    <row r="43" spans="1:11" ht="15.75" hidden="1" x14ac:dyDescent="0.25">
      <c r="A43" s="330" t="s">
        <v>79</v>
      </c>
      <c r="B43" s="6" t="str">
        <f>'инновации+добровольчество0,369'!B48</f>
        <v>19 командировок</v>
      </c>
      <c r="C43" s="6"/>
      <c r="D43" s="6"/>
      <c r="E43" s="7"/>
      <c r="F43" s="7"/>
      <c r="G43" s="168"/>
      <c r="H43" s="7"/>
      <c r="I43" s="7"/>
      <c r="K43" s="186"/>
    </row>
    <row r="44" spans="1:11" ht="15.75" hidden="1" x14ac:dyDescent="0.25">
      <c r="A44" s="7"/>
      <c r="B44" s="7"/>
      <c r="C44" s="7"/>
      <c r="D44" s="159">
        <f>D18</f>
        <v>0.26200000000000001</v>
      </c>
      <c r="E44" s="7"/>
      <c r="F44" s="7"/>
      <c r="G44" s="168"/>
      <c r="H44" s="7"/>
      <c r="I44" s="7"/>
    </row>
    <row r="45" spans="1:11" ht="15.75" hidden="1" x14ac:dyDescent="0.25">
      <c r="A45" s="670" t="s">
        <v>118</v>
      </c>
      <c r="B45" s="670"/>
      <c r="C45" s="321"/>
      <c r="D45" s="670" t="s">
        <v>11</v>
      </c>
      <c r="E45" s="694" t="s">
        <v>46</v>
      </c>
      <c r="F45" s="694" t="s">
        <v>15</v>
      </c>
      <c r="G45" s="719" t="s">
        <v>6</v>
      </c>
      <c r="H45" s="7"/>
      <c r="I45" s="7"/>
    </row>
    <row r="46" spans="1:11" ht="7.15" hidden="1" customHeight="1" x14ac:dyDescent="0.25">
      <c r="A46" s="670"/>
      <c r="B46" s="670"/>
      <c r="C46" s="321"/>
      <c r="D46" s="670"/>
      <c r="E46" s="695"/>
      <c r="F46" s="695"/>
      <c r="G46" s="720"/>
      <c r="H46" s="7"/>
      <c r="I46" s="7"/>
    </row>
    <row r="47" spans="1:11" ht="15.75" hidden="1" x14ac:dyDescent="0.25">
      <c r="A47" s="671">
        <v>1</v>
      </c>
      <c r="B47" s="672"/>
      <c r="C47" s="322"/>
      <c r="D47" s="321">
        <v>2</v>
      </c>
      <c r="E47" s="338">
        <v>3</v>
      </c>
      <c r="F47" s="321">
        <v>4</v>
      </c>
      <c r="G47" s="82" t="s">
        <v>66</v>
      </c>
      <c r="H47" s="7"/>
      <c r="I47" s="7"/>
    </row>
    <row r="48" spans="1:11" ht="15.75" hidden="1" x14ac:dyDescent="0.25">
      <c r="A48" s="673" t="str">
        <f>'инновации+добровольчество0,369'!A53</f>
        <v>Суточные</v>
      </c>
      <c r="B48" s="674"/>
      <c r="C48" s="324"/>
      <c r="D48" s="321" t="str">
        <f>'инновации+добровольчество0,369'!D53</f>
        <v>сутки</v>
      </c>
      <c r="E48" s="335">
        <f>D44</f>
        <v>0.26200000000000001</v>
      </c>
      <c r="F48" s="335">
        <f>'инновации+добровольчество0,369'!F53</f>
        <v>450</v>
      </c>
      <c r="G48" s="82">
        <f>E48*F48</f>
        <v>117.9</v>
      </c>
      <c r="H48" s="7"/>
      <c r="I48" s="7"/>
    </row>
    <row r="49" spans="1:12" ht="15.75" hidden="1" x14ac:dyDescent="0.25">
      <c r="A49" s="673" t="str">
        <f>'инновации+добровольчество0,369'!A54</f>
        <v>Проезд</v>
      </c>
      <c r="B49" s="674"/>
      <c r="C49" s="324"/>
      <c r="D49" s="321" t="str">
        <f>'инновации+добровольчество0,369'!D54</f>
        <v xml:space="preserve">Ед. </v>
      </c>
      <c r="E49" s="335">
        <f>D44</f>
        <v>0.26200000000000001</v>
      </c>
      <c r="F49" s="335">
        <f>'инновации+добровольчество0,369'!F54</f>
        <v>6000</v>
      </c>
      <c r="G49" s="82">
        <f t="shared" ref="G49:G51" si="1">E49*F49</f>
        <v>1572</v>
      </c>
      <c r="H49" s="7"/>
      <c r="I49" s="7"/>
      <c r="L49" s="189"/>
    </row>
    <row r="50" spans="1:12" ht="15.75" hidden="1" x14ac:dyDescent="0.25">
      <c r="A50" s="673" t="str">
        <f>'инновации+добровольчество0,369'!A55</f>
        <v xml:space="preserve">Проживание </v>
      </c>
      <c r="B50" s="674"/>
      <c r="C50" s="324"/>
      <c r="D50" s="321" t="str">
        <f>'инновации+добровольчество0,369'!D55</f>
        <v>сутки</v>
      </c>
      <c r="E50" s="335">
        <f>D44</f>
        <v>0.26200000000000001</v>
      </c>
      <c r="F50" s="335">
        <f>'инновации+добровольчество0,369'!F55</f>
        <v>1610.52</v>
      </c>
      <c r="G50" s="82">
        <f t="shared" si="1"/>
        <v>421.95624000000004</v>
      </c>
      <c r="H50" s="7"/>
      <c r="I50" s="7"/>
      <c r="L50" s="189"/>
    </row>
    <row r="51" spans="1:12" ht="15.75" hidden="1" x14ac:dyDescent="0.25">
      <c r="A51" s="323" t="e">
        <f>'инновации+добровольчество0,369'!#REF!</f>
        <v>#REF!</v>
      </c>
      <c r="B51" s="324"/>
      <c r="C51" s="324"/>
      <c r="D51" s="321" t="e">
        <f>'инновации+добровольчество0,369'!#REF!</f>
        <v>#REF!</v>
      </c>
      <c r="E51" s="335">
        <f>D44</f>
        <v>0.26200000000000001</v>
      </c>
      <c r="F51" s="335" t="e">
        <f>'инновации+добровольчество0,369'!#REF!</f>
        <v>#REF!</v>
      </c>
      <c r="G51" s="82" t="e">
        <f t="shared" si="1"/>
        <v>#REF!</v>
      </c>
      <c r="H51" s="7"/>
      <c r="I51" s="7"/>
      <c r="L51" s="189"/>
    </row>
    <row r="52" spans="1:12" ht="18.75" hidden="1" x14ac:dyDescent="0.25">
      <c r="A52" s="703" t="s">
        <v>56</v>
      </c>
      <c r="B52" s="704"/>
      <c r="C52" s="332"/>
      <c r="D52" s="79"/>
      <c r="E52" s="79"/>
      <c r="F52" s="79"/>
      <c r="G52" s="262" t="e">
        <f>SUM(G48:G51)</f>
        <v>#REF!</v>
      </c>
      <c r="H52" s="7"/>
      <c r="I52" s="7"/>
      <c r="L52" s="186"/>
    </row>
    <row r="53" spans="1:12" ht="15.75" x14ac:dyDescent="0.25">
      <c r="A53" s="697" t="s">
        <v>122</v>
      </c>
      <c r="B53" s="697"/>
      <c r="C53" s="697"/>
      <c r="D53" s="697"/>
      <c r="E53" s="697"/>
      <c r="F53" s="697"/>
      <c r="G53" s="168"/>
      <c r="H53" s="7"/>
      <c r="I53" s="7"/>
    </row>
    <row r="54" spans="1:12" ht="15.75" x14ac:dyDescent="0.25">
      <c r="A54" s="7"/>
      <c r="B54" s="7"/>
      <c r="C54" s="7"/>
      <c r="D54" s="159"/>
      <c r="E54" s="7"/>
      <c r="F54" s="160">
        <v>1</v>
      </c>
      <c r="G54" s="168"/>
      <c r="H54" s="7"/>
      <c r="I54" s="7"/>
    </row>
    <row r="55" spans="1:12" ht="15.75" x14ac:dyDescent="0.25">
      <c r="A55" s="670" t="s">
        <v>118</v>
      </c>
      <c r="B55" s="670"/>
      <c r="C55" s="321"/>
      <c r="D55" s="670" t="s">
        <v>11</v>
      </c>
      <c r="E55" s="694" t="s">
        <v>46</v>
      </c>
      <c r="F55" s="694" t="s">
        <v>15</v>
      </c>
      <c r="G55" s="719" t="s">
        <v>6</v>
      </c>
      <c r="H55" s="7"/>
      <c r="I55" s="7"/>
    </row>
    <row r="56" spans="1:12" ht="13.9" customHeight="1" x14ac:dyDescent="0.25">
      <c r="A56" s="670"/>
      <c r="B56" s="670"/>
      <c r="C56" s="321"/>
      <c r="D56" s="670"/>
      <c r="E56" s="695"/>
      <c r="F56" s="695"/>
      <c r="G56" s="720"/>
      <c r="H56" s="7"/>
      <c r="I56" s="7"/>
    </row>
    <row r="57" spans="1:12" ht="15.75" hidden="1" x14ac:dyDescent="0.25">
      <c r="A57" s="671">
        <v>1</v>
      </c>
      <c r="B57" s="672"/>
      <c r="C57" s="322"/>
      <c r="D57" s="321">
        <v>2</v>
      </c>
      <c r="E57" s="321">
        <v>3</v>
      </c>
      <c r="F57" s="321">
        <v>4</v>
      </c>
      <c r="G57" s="82" t="s">
        <v>66</v>
      </c>
      <c r="H57" s="7"/>
      <c r="I57" s="7"/>
    </row>
    <row r="58" spans="1:12" ht="15.75" x14ac:dyDescent="0.25">
      <c r="A58" s="264" t="s">
        <v>213</v>
      </c>
      <c r="B58" s="496"/>
      <c r="C58" s="496"/>
      <c r="D58" s="497"/>
      <c r="E58" s="494"/>
      <c r="F58" s="492"/>
      <c r="G58" s="82"/>
      <c r="H58" s="7"/>
      <c r="I58" s="7"/>
    </row>
    <row r="59" spans="1:12" ht="15.75" x14ac:dyDescent="0.25">
      <c r="A59" s="94" t="s">
        <v>214</v>
      </c>
      <c r="B59" s="496"/>
      <c r="C59" s="496"/>
      <c r="D59" s="321" t="s">
        <v>120</v>
      </c>
      <c r="E59" s="99">
        <v>5</v>
      </c>
      <c r="F59" s="100">
        <v>4920</v>
      </c>
      <c r="G59" s="82">
        <f>E59*F59</f>
        <v>24600</v>
      </c>
      <c r="H59" s="7"/>
      <c r="I59" s="7"/>
    </row>
    <row r="60" spans="1:12" ht="15.75" x14ac:dyDescent="0.25">
      <c r="A60" s="225" t="s">
        <v>215</v>
      </c>
      <c r="B60" s="496"/>
      <c r="C60" s="496"/>
      <c r="D60" s="321" t="s">
        <v>121</v>
      </c>
      <c r="E60" s="99">
        <v>4</v>
      </c>
      <c r="F60" s="100">
        <v>300</v>
      </c>
      <c r="G60" s="82">
        <f t="shared" ref="G60:G123" si="2">E60*F60</f>
        <v>1200</v>
      </c>
      <c r="H60" s="7"/>
      <c r="I60" s="7"/>
    </row>
    <row r="61" spans="1:12" ht="15.75" x14ac:dyDescent="0.25">
      <c r="A61" s="491" t="s">
        <v>216</v>
      </c>
      <c r="B61" s="496"/>
      <c r="C61" s="496"/>
      <c r="D61" s="321" t="s">
        <v>121</v>
      </c>
      <c r="E61" s="99">
        <v>0</v>
      </c>
      <c r="F61" s="100">
        <v>500</v>
      </c>
      <c r="G61" s="82">
        <f t="shared" si="2"/>
        <v>0</v>
      </c>
      <c r="H61" s="7"/>
      <c r="I61" s="7"/>
    </row>
    <row r="62" spans="1:12" ht="15.75" x14ac:dyDescent="0.25">
      <c r="A62" s="264" t="s">
        <v>213</v>
      </c>
      <c r="B62" s="496"/>
      <c r="C62" s="496"/>
      <c r="D62" s="321"/>
      <c r="E62" s="99"/>
      <c r="F62" s="100"/>
      <c r="G62" s="82">
        <f t="shared" si="2"/>
        <v>0</v>
      </c>
      <c r="H62" s="7"/>
      <c r="I62" s="7"/>
    </row>
    <row r="63" spans="1:12" ht="15.75" x14ac:dyDescent="0.25">
      <c r="A63" s="94" t="s">
        <v>187</v>
      </c>
      <c r="B63" s="496"/>
      <c r="C63" s="496"/>
      <c r="D63" s="321" t="s">
        <v>120</v>
      </c>
      <c r="E63" s="99">
        <v>3</v>
      </c>
      <c r="F63" s="100">
        <v>6146.33</v>
      </c>
      <c r="G63" s="82">
        <v>18439</v>
      </c>
      <c r="H63" s="7"/>
      <c r="I63" s="7"/>
    </row>
    <row r="64" spans="1:12" ht="15.75" x14ac:dyDescent="0.25">
      <c r="A64" s="94" t="s">
        <v>186</v>
      </c>
      <c r="B64" s="496"/>
      <c r="C64" s="496"/>
      <c r="D64" s="321" t="s">
        <v>121</v>
      </c>
      <c r="E64" s="99">
        <v>3</v>
      </c>
      <c r="F64" s="100">
        <v>300</v>
      </c>
      <c r="G64" s="82">
        <f t="shared" si="2"/>
        <v>900</v>
      </c>
      <c r="H64" s="7"/>
      <c r="I64" s="7"/>
    </row>
    <row r="65" spans="1:9" ht="15.75" x14ac:dyDescent="0.25">
      <c r="A65" s="94" t="s">
        <v>217</v>
      </c>
      <c r="B65" s="496"/>
      <c r="C65" s="496"/>
      <c r="D65" s="321" t="s">
        <v>121</v>
      </c>
      <c r="E65" s="99">
        <v>0</v>
      </c>
      <c r="F65" s="100">
        <v>500</v>
      </c>
      <c r="G65" s="82">
        <f t="shared" si="2"/>
        <v>0</v>
      </c>
      <c r="H65" s="7"/>
      <c r="I65" s="7"/>
    </row>
    <row r="66" spans="1:9" ht="15.75" x14ac:dyDescent="0.25">
      <c r="A66" s="264" t="s">
        <v>213</v>
      </c>
      <c r="B66" s="496"/>
      <c r="C66" s="496"/>
      <c r="D66" s="321"/>
      <c r="E66" s="99"/>
      <c r="F66" s="100"/>
      <c r="G66" s="82">
        <f t="shared" si="2"/>
        <v>0</v>
      </c>
      <c r="H66" s="7"/>
      <c r="I66" s="7"/>
    </row>
    <row r="67" spans="1:9" ht="15.75" x14ac:dyDescent="0.25">
      <c r="A67" s="94" t="s">
        <v>187</v>
      </c>
      <c r="B67" s="496"/>
      <c r="C67" s="496"/>
      <c r="D67" s="321" t="s">
        <v>120</v>
      </c>
      <c r="E67" s="99">
        <v>3</v>
      </c>
      <c r="F67" s="100">
        <v>12498</v>
      </c>
      <c r="G67" s="82">
        <f t="shared" si="2"/>
        <v>37494</v>
      </c>
      <c r="H67" s="7"/>
      <c r="I67" s="7"/>
    </row>
    <row r="68" spans="1:9" ht="15.75" x14ac:dyDescent="0.25">
      <c r="A68" s="94" t="s">
        <v>186</v>
      </c>
      <c r="B68" s="496"/>
      <c r="C68" s="496"/>
      <c r="D68" s="321" t="s">
        <v>121</v>
      </c>
      <c r="E68" s="99">
        <v>6</v>
      </c>
      <c r="F68" s="100">
        <v>300</v>
      </c>
      <c r="G68" s="82">
        <f t="shared" si="2"/>
        <v>1800</v>
      </c>
      <c r="H68" s="7"/>
      <c r="I68" s="7"/>
    </row>
    <row r="69" spans="1:9" ht="15.75" x14ac:dyDescent="0.25">
      <c r="A69" s="94" t="s">
        <v>217</v>
      </c>
      <c r="B69" s="496"/>
      <c r="C69" s="496"/>
      <c r="D69" s="321" t="s">
        <v>121</v>
      </c>
      <c r="E69" s="99">
        <v>0</v>
      </c>
      <c r="F69" s="100">
        <v>500</v>
      </c>
      <c r="G69" s="82">
        <f t="shared" si="2"/>
        <v>0</v>
      </c>
      <c r="H69" s="7"/>
      <c r="I69" s="7"/>
    </row>
    <row r="70" spans="1:9" ht="15.75" x14ac:dyDescent="0.25">
      <c r="A70" s="741" t="s">
        <v>581</v>
      </c>
      <c r="B70" s="496"/>
      <c r="C70" s="496"/>
      <c r="D70" s="497" t="s">
        <v>120</v>
      </c>
      <c r="E70" s="99">
        <v>14</v>
      </c>
      <c r="F70" s="100">
        <v>2800</v>
      </c>
      <c r="G70" s="82">
        <f t="shared" si="2"/>
        <v>39200</v>
      </c>
      <c r="H70" s="7"/>
      <c r="I70" s="7"/>
    </row>
    <row r="71" spans="1:9" ht="15.75" x14ac:dyDescent="0.25">
      <c r="A71" s="352" t="s">
        <v>582</v>
      </c>
      <c r="B71" s="735"/>
      <c r="C71" s="496"/>
      <c r="D71" s="497" t="s">
        <v>120</v>
      </c>
      <c r="E71" s="99">
        <v>0</v>
      </c>
      <c r="F71" s="100">
        <v>20570</v>
      </c>
      <c r="G71" s="82">
        <f t="shared" si="2"/>
        <v>0</v>
      </c>
      <c r="H71" s="7"/>
      <c r="I71" s="7"/>
    </row>
    <row r="72" spans="1:9" ht="15.75" x14ac:dyDescent="0.25">
      <c r="A72" s="743" t="s">
        <v>583</v>
      </c>
      <c r="B72" s="747"/>
      <c r="C72" s="496"/>
      <c r="D72" s="497" t="s">
        <v>120</v>
      </c>
      <c r="E72" s="353">
        <v>2</v>
      </c>
      <c r="F72" s="354">
        <v>640</v>
      </c>
      <c r="G72" s="82">
        <f t="shared" si="2"/>
        <v>1280</v>
      </c>
      <c r="H72" s="7"/>
      <c r="I72" s="7"/>
    </row>
    <row r="73" spans="1:9" ht="15.75" x14ac:dyDescent="0.25">
      <c r="A73" s="743" t="s">
        <v>584</v>
      </c>
      <c r="B73" s="747"/>
      <c r="C73" s="496"/>
      <c r="D73" s="497" t="s">
        <v>120</v>
      </c>
      <c r="E73" s="353">
        <v>2</v>
      </c>
      <c r="F73" s="354">
        <v>640</v>
      </c>
      <c r="G73" s="82">
        <f t="shared" si="2"/>
        <v>1280</v>
      </c>
      <c r="H73" s="7"/>
      <c r="I73" s="7"/>
    </row>
    <row r="74" spans="1:9" ht="15.75" x14ac:dyDescent="0.25">
      <c r="A74" s="743" t="s">
        <v>585</v>
      </c>
      <c r="B74" s="747"/>
      <c r="C74" s="496"/>
      <c r="D74" s="497" t="s">
        <v>120</v>
      </c>
      <c r="E74" s="353">
        <v>2</v>
      </c>
      <c r="F74" s="354">
        <v>640</v>
      </c>
      <c r="G74" s="82">
        <f t="shared" si="2"/>
        <v>1280</v>
      </c>
      <c r="H74" s="7"/>
      <c r="I74" s="7"/>
    </row>
    <row r="75" spans="1:9" ht="15.75" x14ac:dyDescent="0.25">
      <c r="A75" s="744" t="s">
        <v>586</v>
      </c>
      <c r="B75" s="747"/>
      <c r="C75" s="496"/>
      <c r="D75" s="497" t="s">
        <v>120</v>
      </c>
      <c r="E75" s="353">
        <v>2</v>
      </c>
      <c r="F75" s="354">
        <v>760</v>
      </c>
      <c r="G75" s="82">
        <f t="shared" si="2"/>
        <v>1520</v>
      </c>
      <c r="H75" s="7"/>
      <c r="I75" s="7"/>
    </row>
    <row r="76" spans="1:9" ht="15.75" x14ac:dyDescent="0.25">
      <c r="A76" s="743" t="s">
        <v>587</v>
      </c>
      <c r="B76" s="747"/>
      <c r="C76" s="496"/>
      <c r="D76" s="497" t="s">
        <v>120</v>
      </c>
      <c r="E76" s="353">
        <v>2</v>
      </c>
      <c r="F76" s="354">
        <v>790</v>
      </c>
      <c r="G76" s="82">
        <f t="shared" si="2"/>
        <v>1580</v>
      </c>
      <c r="H76" s="7"/>
      <c r="I76" s="7"/>
    </row>
    <row r="77" spans="1:9" ht="15.75" x14ac:dyDescent="0.25">
      <c r="A77" s="744" t="s">
        <v>588</v>
      </c>
      <c r="B77" s="747"/>
      <c r="C77" s="496"/>
      <c r="D77" s="497" t="s">
        <v>120</v>
      </c>
      <c r="E77" s="353">
        <v>2</v>
      </c>
      <c r="F77" s="354">
        <v>870</v>
      </c>
      <c r="G77" s="82">
        <f t="shared" si="2"/>
        <v>1740</v>
      </c>
      <c r="H77" s="7"/>
      <c r="I77" s="7"/>
    </row>
    <row r="78" spans="1:9" ht="15.75" x14ac:dyDescent="0.25">
      <c r="A78" s="743" t="s">
        <v>589</v>
      </c>
      <c r="B78" s="747"/>
      <c r="C78" s="496"/>
      <c r="D78" s="497" t="s">
        <v>120</v>
      </c>
      <c r="E78" s="471">
        <v>5</v>
      </c>
      <c r="F78" s="471">
        <v>190</v>
      </c>
      <c r="G78" s="82">
        <f t="shared" si="2"/>
        <v>950</v>
      </c>
      <c r="H78" s="7"/>
      <c r="I78" s="7"/>
    </row>
    <row r="79" spans="1:9" ht="15.75" x14ac:dyDescent="0.25">
      <c r="A79" s="743" t="s">
        <v>590</v>
      </c>
      <c r="B79" s="747"/>
      <c r="C79" s="496"/>
      <c r="D79" s="497" t="s">
        <v>120</v>
      </c>
      <c r="E79" s="471">
        <v>5</v>
      </c>
      <c r="F79" s="471">
        <v>90</v>
      </c>
      <c r="G79" s="82">
        <f t="shared" si="2"/>
        <v>450</v>
      </c>
      <c r="H79" s="7"/>
      <c r="I79" s="7"/>
    </row>
    <row r="80" spans="1:9" ht="15.75" x14ac:dyDescent="0.25">
      <c r="A80" s="743" t="s">
        <v>591</v>
      </c>
      <c r="B80" s="747"/>
      <c r="C80" s="496"/>
      <c r="D80" s="497" t="s">
        <v>120</v>
      </c>
      <c r="E80" s="471">
        <v>5</v>
      </c>
      <c r="F80" s="471">
        <v>90</v>
      </c>
      <c r="G80" s="82">
        <f t="shared" si="2"/>
        <v>450</v>
      </c>
      <c r="H80" s="7"/>
      <c r="I80" s="7"/>
    </row>
    <row r="81" spans="1:9" ht="15.75" x14ac:dyDescent="0.25">
      <c r="A81" s="743" t="s">
        <v>592</v>
      </c>
      <c r="B81" s="747"/>
      <c r="C81" s="496"/>
      <c r="D81" s="497" t="s">
        <v>120</v>
      </c>
      <c r="E81" s="471">
        <v>5</v>
      </c>
      <c r="F81" s="471">
        <v>90</v>
      </c>
      <c r="G81" s="82">
        <f t="shared" si="2"/>
        <v>450</v>
      </c>
      <c r="H81" s="7"/>
      <c r="I81" s="7"/>
    </row>
    <row r="82" spans="1:9" ht="15.75" x14ac:dyDescent="0.25">
      <c r="A82" s="743" t="s">
        <v>593</v>
      </c>
      <c r="B82" s="747"/>
      <c r="C82" s="496"/>
      <c r="D82" s="497" t="s">
        <v>120</v>
      </c>
      <c r="E82" s="471">
        <v>5</v>
      </c>
      <c r="F82" s="471">
        <v>90</v>
      </c>
      <c r="G82" s="82">
        <f t="shared" si="2"/>
        <v>450</v>
      </c>
      <c r="H82" s="7"/>
      <c r="I82" s="7"/>
    </row>
    <row r="83" spans="1:9" ht="15.75" x14ac:dyDescent="0.25">
      <c r="A83" s="743" t="s">
        <v>594</v>
      </c>
      <c r="B83" s="747"/>
      <c r="C83" s="496"/>
      <c r="D83" s="497" t="s">
        <v>120</v>
      </c>
      <c r="E83" s="471">
        <v>5</v>
      </c>
      <c r="F83" s="471">
        <v>90</v>
      </c>
      <c r="G83" s="82">
        <f t="shared" si="2"/>
        <v>450</v>
      </c>
      <c r="H83" s="7"/>
      <c r="I83" s="7"/>
    </row>
    <row r="84" spans="1:9" ht="15.75" x14ac:dyDescent="0.25">
      <c r="A84" s="743" t="s">
        <v>595</v>
      </c>
      <c r="B84" s="747"/>
      <c r="C84" s="496"/>
      <c r="D84" s="497" t="s">
        <v>120</v>
      </c>
      <c r="E84" s="471">
        <v>5</v>
      </c>
      <c r="F84" s="471">
        <v>90</v>
      </c>
      <c r="G84" s="82">
        <f t="shared" si="2"/>
        <v>450</v>
      </c>
      <c r="H84" s="7"/>
      <c r="I84" s="7"/>
    </row>
    <row r="85" spans="1:9" ht="15.75" x14ac:dyDescent="0.25">
      <c r="A85" s="743" t="s">
        <v>596</v>
      </c>
      <c r="B85" s="747"/>
      <c r="C85" s="496"/>
      <c r="D85" s="497" t="s">
        <v>120</v>
      </c>
      <c r="E85" s="471">
        <v>5</v>
      </c>
      <c r="F85" s="471">
        <v>90</v>
      </c>
      <c r="G85" s="82">
        <f t="shared" si="2"/>
        <v>450</v>
      </c>
      <c r="H85" s="7"/>
      <c r="I85" s="7"/>
    </row>
    <row r="86" spans="1:9" ht="15.75" x14ac:dyDescent="0.25">
      <c r="A86" s="743" t="s">
        <v>597</v>
      </c>
      <c r="B86" s="747"/>
      <c r="C86" s="496"/>
      <c r="D86" s="497" t="s">
        <v>120</v>
      </c>
      <c r="E86" s="471">
        <v>5</v>
      </c>
      <c r="F86" s="471">
        <v>90</v>
      </c>
      <c r="G86" s="82">
        <f t="shared" si="2"/>
        <v>450</v>
      </c>
      <c r="H86" s="7"/>
      <c r="I86" s="7"/>
    </row>
    <row r="87" spans="1:9" ht="15.75" x14ac:dyDescent="0.25">
      <c r="A87" s="743" t="s">
        <v>598</v>
      </c>
      <c r="B87" s="747"/>
      <c r="C87" s="496"/>
      <c r="D87" s="497" t="s">
        <v>120</v>
      </c>
      <c r="E87" s="471">
        <v>5</v>
      </c>
      <c r="F87" s="471">
        <v>90</v>
      </c>
      <c r="G87" s="82">
        <f t="shared" si="2"/>
        <v>450</v>
      </c>
      <c r="H87" s="7"/>
      <c r="I87" s="7"/>
    </row>
    <row r="88" spans="1:9" ht="15.75" x14ac:dyDescent="0.25">
      <c r="A88" s="743" t="s">
        <v>599</v>
      </c>
      <c r="B88" s="747"/>
      <c r="C88" s="496"/>
      <c r="D88" s="497" t="s">
        <v>120</v>
      </c>
      <c r="E88" s="471">
        <v>5</v>
      </c>
      <c r="F88" s="471">
        <v>170</v>
      </c>
      <c r="G88" s="82">
        <f t="shared" si="2"/>
        <v>850</v>
      </c>
      <c r="H88" s="7"/>
      <c r="I88" s="7"/>
    </row>
    <row r="89" spans="1:9" ht="15.75" x14ac:dyDescent="0.25">
      <c r="A89" s="743" t="s">
        <v>600</v>
      </c>
      <c r="B89" s="747"/>
      <c r="C89" s="496"/>
      <c r="D89" s="497" t="s">
        <v>120</v>
      </c>
      <c r="E89" s="471">
        <v>5</v>
      </c>
      <c r="F89" s="471">
        <v>170</v>
      </c>
      <c r="G89" s="82">
        <f t="shared" si="2"/>
        <v>850</v>
      </c>
      <c r="H89" s="7"/>
      <c r="I89" s="7"/>
    </row>
    <row r="90" spans="1:9" ht="15.75" x14ac:dyDescent="0.25">
      <c r="A90" s="743" t="s">
        <v>601</v>
      </c>
      <c r="B90" s="747"/>
      <c r="C90" s="496"/>
      <c r="D90" s="497" t="s">
        <v>120</v>
      </c>
      <c r="E90" s="471">
        <v>5</v>
      </c>
      <c r="F90" s="471">
        <v>170</v>
      </c>
      <c r="G90" s="82">
        <f t="shared" si="2"/>
        <v>850</v>
      </c>
      <c r="H90" s="7"/>
      <c r="I90" s="7"/>
    </row>
    <row r="91" spans="1:9" ht="15.75" x14ac:dyDescent="0.25">
      <c r="A91" s="743" t="s">
        <v>602</v>
      </c>
      <c r="B91" s="747"/>
      <c r="C91" s="496"/>
      <c r="D91" s="497" t="s">
        <v>120</v>
      </c>
      <c r="E91" s="471">
        <v>5</v>
      </c>
      <c r="F91" s="471">
        <v>170</v>
      </c>
      <c r="G91" s="82">
        <f t="shared" si="2"/>
        <v>850</v>
      </c>
      <c r="H91" s="7"/>
      <c r="I91" s="7"/>
    </row>
    <row r="92" spans="1:9" ht="15.75" x14ac:dyDescent="0.25">
      <c r="A92" s="743" t="s">
        <v>603</v>
      </c>
      <c r="B92" s="747"/>
      <c r="C92" s="496"/>
      <c r="D92" s="497" t="s">
        <v>120</v>
      </c>
      <c r="E92" s="471">
        <v>5</v>
      </c>
      <c r="F92" s="471">
        <v>170</v>
      </c>
      <c r="G92" s="82">
        <f t="shared" si="2"/>
        <v>850</v>
      </c>
      <c r="H92" s="7"/>
      <c r="I92" s="7"/>
    </row>
    <row r="93" spans="1:9" ht="15.75" x14ac:dyDescent="0.25">
      <c r="A93" s="743" t="s">
        <v>604</v>
      </c>
      <c r="B93" s="747"/>
      <c r="C93" s="496"/>
      <c r="D93" s="497" t="s">
        <v>120</v>
      </c>
      <c r="E93" s="471">
        <v>5</v>
      </c>
      <c r="F93" s="471">
        <v>170</v>
      </c>
      <c r="G93" s="82">
        <f t="shared" si="2"/>
        <v>850</v>
      </c>
      <c r="H93" s="7"/>
      <c r="I93" s="7"/>
    </row>
    <row r="94" spans="1:9" ht="15.75" x14ac:dyDescent="0.25">
      <c r="A94" s="743" t="s">
        <v>605</v>
      </c>
      <c r="B94" s="747"/>
      <c r="C94" s="496"/>
      <c r="D94" s="497" t="s">
        <v>120</v>
      </c>
      <c r="E94" s="471">
        <v>5</v>
      </c>
      <c r="F94" s="471">
        <v>170</v>
      </c>
      <c r="G94" s="82">
        <f t="shared" si="2"/>
        <v>850</v>
      </c>
      <c r="H94" s="7"/>
      <c r="I94" s="7"/>
    </row>
    <row r="95" spans="1:9" ht="15.75" x14ac:dyDescent="0.25">
      <c r="A95" s="743" t="s">
        <v>606</v>
      </c>
      <c r="B95" s="747"/>
      <c r="C95" s="496"/>
      <c r="D95" s="497" t="s">
        <v>120</v>
      </c>
      <c r="E95" s="471">
        <v>10</v>
      </c>
      <c r="F95" s="471">
        <v>150</v>
      </c>
      <c r="G95" s="82">
        <f t="shared" si="2"/>
        <v>1500</v>
      </c>
      <c r="H95" s="7"/>
      <c r="I95" s="7"/>
    </row>
    <row r="96" spans="1:9" ht="25.5" x14ac:dyDescent="0.25">
      <c r="A96" s="745" t="s">
        <v>607</v>
      </c>
      <c r="B96" s="747"/>
      <c r="C96" s="496"/>
      <c r="D96" s="497" t="s">
        <v>120</v>
      </c>
      <c r="E96" s="99">
        <v>10</v>
      </c>
      <c r="F96" s="100">
        <v>80</v>
      </c>
      <c r="G96" s="82">
        <f t="shared" si="2"/>
        <v>800</v>
      </c>
      <c r="H96" s="7"/>
      <c r="I96" s="7"/>
    </row>
    <row r="97" spans="1:9" ht="15.75" x14ac:dyDescent="0.25">
      <c r="A97" s="745" t="s">
        <v>608</v>
      </c>
      <c r="B97" s="747"/>
      <c r="C97" s="496"/>
      <c r="D97" s="497" t="s">
        <v>120</v>
      </c>
      <c r="E97" s="99">
        <v>10</v>
      </c>
      <c r="F97" s="100">
        <v>290</v>
      </c>
      <c r="G97" s="82">
        <f t="shared" si="2"/>
        <v>2900</v>
      </c>
      <c r="H97" s="7"/>
      <c r="I97" s="7"/>
    </row>
    <row r="98" spans="1:9" ht="15.75" x14ac:dyDescent="0.25">
      <c r="A98" s="745" t="s">
        <v>609</v>
      </c>
      <c r="B98" s="747"/>
      <c r="C98" s="496"/>
      <c r="D98" s="497" t="s">
        <v>120</v>
      </c>
      <c r="E98" s="99">
        <v>25</v>
      </c>
      <c r="F98" s="100">
        <v>190</v>
      </c>
      <c r="G98" s="82">
        <f t="shared" si="2"/>
        <v>4750</v>
      </c>
      <c r="H98" s="7"/>
      <c r="I98" s="7"/>
    </row>
    <row r="99" spans="1:9" ht="15.75" x14ac:dyDescent="0.25">
      <c r="A99" s="745" t="s">
        <v>610</v>
      </c>
      <c r="B99" s="747"/>
      <c r="C99" s="496"/>
      <c r="D99" s="497" t="s">
        <v>120</v>
      </c>
      <c r="E99" s="99">
        <v>40</v>
      </c>
      <c r="F99" s="100">
        <v>110</v>
      </c>
      <c r="G99" s="82">
        <f t="shared" si="2"/>
        <v>4400</v>
      </c>
      <c r="H99" s="7"/>
      <c r="I99" s="7"/>
    </row>
    <row r="100" spans="1:9" ht="15.75" x14ac:dyDescent="0.25">
      <c r="A100" s="745" t="s">
        <v>611</v>
      </c>
      <c r="B100" s="747"/>
      <c r="C100" s="496"/>
      <c r="D100" s="497" t="s">
        <v>120</v>
      </c>
      <c r="E100" s="99">
        <v>50</v>
      </c>
      <c r="F100" s="100">
        <v>80</v>
      </c>
      <c r="G100" s="82">
        <f t="shared" si="2"/>
        <v>4000</v>
      </c>
      <c r="H100" s="7"/>
      <c r="I100" s="7"/>
    </row>
    <row r="101" spans="1:9" ht="15.75" x14ac:dyDescent="0.25">
      <c r="A101" s="745" t="s">
        <v>612</v>
      </c>
      <c r="B101" s="747"/>
      <c r="C101" s="496"/>
      <c r="D101" s="497" t="s">
        <v>120</v>
      </c>
      <c r="E101" s="99">
        <v>4</v>
      </c>
      <c r="F101" s="100">
        <v>110</v>
      </c>
      <c r="G101" s="82">
        <f t="shared" si="2"/>
        <v>440</v>
      </c>
      <c r="H101" s="7"/>
      <c r="I101" s="7"/>
    </row>
    <row r="102" spans="1:9" ht="15.75" x14ac:dyDescent="0.25">
      <c r="A102" s="745" t="s">
        <v>613</v>
      </c>
      <c r="B102" s="747"/>
      <c r="C102" s="496"/>
      <c r="D102" s="497" t="s">
        <v>120</v>
      </c>
      <c r="E102" s="99">
        <v>4</v>
      </c>
      <c r="F102" s="100">
        <v>260</v>
      </c>
      <c r="G102" s="82">
        <f t="shared" si="2"/>
        <v>1040</v>
      </c>
      <c r="H102" s="7"/>
      <c r="I102" s="7"/>
    </row>
    <row r="103" spans="1:9" ht="15.75" x14ac:dyDescent="0.25">
      <c r="A103" s="745" t="s">
        <v>614</v>
      </c>
      <c r="B103" s="747"/>
      <c r="C103" s="496"/>
      <c r="D103" s="497" t="s">
        <v>120</v>
      </c>
      <c r="E103" s="99">
        <v>2</v>
      </c>
      <c r="F103" s="100">
        <v>190</v>
      </c>
      <c r="G103" s="82">
        <f t="shared" si="2"/>
        <v>380</v>
      </c>
      <c r="H103" s="7"/>
      <c r="I103" s="7"/>
    </row>
    <row r="104" spans="1:9" ht="15.75" x14ac:dyDescent="0.25">
      <c r="A104" s="745" t="s">
        <v>615</v>
      </c>
      <c r="B104" s="747"/>
      <c r="C104" s="496"/>
      <c r="D104" s="497" t="s">
        <v>120</v>
      </c>
      <c r="E104" s="99">
        <v>10</v>
      </c>
      <c r="F104" s="100">
        <v>140</v>
      </c>
      <c r="G104" s="82">
        <f t="shared" si="2"/>
        <v>1400</v>
      </c>
      <c r="H104" s="7"/>
      <c r="I104" s="7"/>
    </row>
    <row r="105" spans="1:9" ht="15.75" x14ac:dyDescent="0.25">
      <c r="A105" s="745" t="s">
        <v>616</v>
      </c>
      <c r="B105" s="747"/>
      <c r="C105" s="496"/>
      <c r="D105" s="497" t="s">
        <v>120</v>
      </c>
      <c r="E105" s="99">
        <v>10</v>
      </c>
      <c r="F105" s="100">
        <v>145</v>
      </c>
      <c r="G105" s="82">
        <f t="shared" si="2"/>
        <v>1450</v>
      </c>
      <c r="H105" s="7"/>
      <c r="I105" s="7"/>
    </row>
    <row r="106" spans="1:9" ht="15.75" x14ac:dyDescent="0.25">
      <c r="A106" s="745" t="s">
        <v>617</v>
      </c>
      <c r="B106" s="747"/>
      <c r="C106" s="496"/>
      <c r="D106" s="497" t="s">
        <v>120</v>
      </c>
      <c r="E106" s="99">
        <v>10</v>
      </c>
      <c r="F106" s="100">
        <v>140</v>
      </c>
      <c r="G106" s="82">
        <f t="shared" si="2"/>
        <v>1400</v>
      </c>
      <c r="H106" s="7"/>
      <c r="I106" s="7"/>
    </row>
    <row r="107" spans="1:9" ht="15.75" x14ac:dyDescent="0.25">
      <c r="A107" s="745" t="s">
        <v>618</v>
      </c>
      <c r="B107" s="747"/>
      <c r="C107" s="496"/>
      <c r="D107" s="497" t="s">
        <v>120</v>
      </c>
      <c r="E107" s="99">
        <v>10</v>
      </c>
      <c r="F107" s="100">
        <v>140</v>
      </c>
      <c r="G107" s="82">
        <f t="shared" si="2"/>
        <v>1400</v>
      </c>
      <c r="H107" s="7"/>
      <c r="I107" s="7"/>
    </row>
    <row r="108" spans="1:9" ht="15.75" x14ac:dyDescent="0.25">
      <c r="A108" s="745" t="s">
        <v>619</v>
      </c>
      <c r="B108" s="747"/>
      <c r="C108" s="496"/>
      <c r="D108" s="497" t="s">
        <v>120</v>
      </c>
      <c r="E108" s="99">
        <v>10</v>
      </c>
      <c r="F108" s="100">
        <v>140</v>
      </c>
      <c r="G108" s="82">
        <f t="shared" si="2"/>
        <v>1400</v>
      </c>
      <c r="H108" s="7"/>
      <c r="I108" s="7"/>
    </row>
    <row r="109" spans="1:9" ht="15.75" x14ac:dyDescent="0.25">
      <c r="A109" s="745" t="s">
        <v>620</v>
      </c>
      <c r="B109" s="747"/>
      <c r="C109" s="496"/>
      <c r="D109" s="497" t="s">
        <v>120</v>
      </c>
      <c r="E109" s="99">
        <v>10</v>
      </c>
      <c r="F109" s="100">
        <v>145</v>
      </c>
      <c r="G109" s="82">
        <f t="shared" si="2"/>
        <v>1450</v>
      </c>
      <c r="H109" s="7"/>
      <c r="I109" s="7"/>
    </row>
    <row r="110" spans="1:9" ht="15.75" x14ac:dyDescent="0.25">
      <c r="A110" s="745" t="s">
        <v>621</v>
      </c>
      <c r="B110" s="747"/>
      <c r="C110" s="496"/>
      <c r="D110" s="497" t="s">
        <v>120</v>
      </c>
      <c r="E110" s="99">
        <v>10</v>
      </c>
      <c r="F110" s="100">
        <v>140</v>
      </c>
      <c r="G110" s="82">
        <f t="shared" si="2"/>
        <v>1400</v>
      </c>
      <c r="H110" s="7"/>
      <c r="I110" s="7"/>
    </row>
    <row r="111" spans="1:9" ht="15.75" x14ac:dyDescent="0.25">
      <c r="A111" s="745" t="s">
        <v>622</v>
      </c>
      <c r="B111" s="747"/>
      <c r="C111" s="496"/>
      <c r="D111" s="497" t="s">
        <v>120</v>
      </c>
      <c r="E111" s="99">
        <v>10</v>
      </c>
      <c r="F111" s="100">
        <v>140</v>
      </c>
      <c r="G111" s="82">
        <f t="shared" si="2"/>
        <v>1400</v>
      </c>
      <c r="H111" s="7"/>
      <c r="I111" s="7"/>
    </row>
    <row r="112" spans="1:9" ht="15.75" x14ac:dyDescent="0.25">
      <c r="A112" s="745" t="s">
        <v>623</v>
      </c>
      <c r="B112" s="747"/>
      <c r="C112" s="333"/>
      <c r="D112" s="497" t="s">
        <v>120</v>
      </c>
      <c r="E112" s="99">
        <v>10</v>
      </c>
      <c r="F112" s="100">
        <v>140</v>
      </c>
      <c r="G112" s="82">
        <f t="shared" si="2"/>
        <v>1400</v>
      </c>
      <c r="H112" s="7"/>
      <c r="I112" s="7"/>
    </row>
    <row r="113" spans="1:10" ht="15.75" x14ac:dyDescent="0.25">
      <c r="A113" s="745" t="s">
        <v>624</v>
      </c>
      <c r="B113" s="747"/>
      <c r="C113" s="333"/>
      <c r="D113" s="497" t="s">
        <v>120</v>
      </c>
      <c r="E113" s="99">
        <v>2</v>
      </c>
      <c r="F113" s="100">
        <v>325</v>
      </c>
      <c r="G113" s="82">
        <f t="shared" si="2"/>
        <v>650</v>
      </c>
      <c r="H113" s="7"/>
      <c r="I113" s="7"/>
    </row>
    <row r="114" spans="1:10" ht="15.75" x14ac:dyDescent="0.25">
      <c r="A114" s="745" t="s">
        <v>625</v>
      </c>
      <c r="B114" s="747"/>
      <c r="C114" s="333"/>
      <c r="D114" s="497" t="s">
        <v>120</v>
      </c>
      <c r="E114" s="99">
        <v>5</v>
      </c>
      <c r="F114" s="100">
        <v>190</v>
      </c>
      <c r="G114" s="82">
        <f t="shared" si="2"/>
        <v>950</v>
      </c>
      <c r="H114" s="7"/>
      <c r="I114" s="7"/>
    </row>
    <row r="115" spans="1:10" ht="15.75" x14ac:dyDescent="0.25">
      <c r="A115" s="745" t="s">
        <v>626</v>
      </c>
      <c r="B115" s="747"/>
      <c r="C115" s="333"/>
      <c r="D115" s="497" t="s">
        <v>120</v>
      </c>
      <c r="E115" s="99">
        <v>5</v>
      </c>
      <c r="F115" s="100">
        <v>190</v>
      </c>
      <c r="G115" s="82">
        <f t="shared" si="2"/>
        <v>950</v>
      </c>
      <c r="H115" s="7"/>
      <c r="I115" s="7"/>
    </row>
    <row r="116" spans="1:10" ht="15.75" x14ac:dyDescent="0.25">
      <c r="A116" s="745" t="s">
        <v>627</v>
      </c>
      <c r="B116" s="747"/>
      <c r="C116" s="333"/>
      <c r="D116" s="497" t="s">
        <v>120</v>
      </c>
      <c r="E116" s="99">
        <v>5</v>
      </c>
      <c r="F116" s="100">
        <v>180</v>
      </c>
      <c r="G116" s="82">
        <f t="shared" si="2"/>
        <v>900</v>
      </c>
      <c r="H116" s="7"/>
      <c r="I116" s="7"/>
    </row>
    <row r="117" spans="1:10" ht="15.75" x14ac:dyDescent="0.25">
      <c r="A117" s="745" t="s">
        <v>628</v>
      </c>
      <c r="B117" s="747"/>
      <c r="C117" s="333"/>
      <c r="D117" s="497" t="s">
        <v>120</v>
      </c>
      <c r="E117" s="99">
        <v>5</v>
      </c>
      <c r="F117" s="100">
        <v>190</v>
      </c>
      <c r="G117" s="82">
        <f t="shared" si="2"/>
        <v>950</v>
      </c>
      <c r="H117" s="7"/>
      <c r="I117" s="7"/>
    </row>
    <row r="118" spans="1:10" ht="15.75" x14ac:dyDescent="0.25">
      <c r="A118" s="745" t="s">
        <v>629</v>
      </c>
      <c r="B118" s="747"/>
      <c r="C118" s="333"/>
      <c r="D118" s="497" t="s">
        <v>120</v>
      </c>
      <c r="E118" s="99">
        <v>5</v>
      </c>
      <c r="F118" s="100">
        <v>180</v>
      </c>
      <c r="G118" s="82">
        <f t="shared" si="2"/>
        <v>900</v>
      </c>
      <c r="H118" s="7"/>
      <c r="I118" s="7"/>
    </row>
    <row r="119" spans="1:10" ht="15.75" x14ac:dyDescent="0.25">
      <c r="A119" s="745" t="s">
        <v>630</v>
      </c>
      <c r="B119" s="747"/>
      <c r="C119" s="333"/>
      <c r="D119" s="497" t="s">
        <v>120</v>
      </c>
      <c r="E119" s="99">
        <v>5</v>
      </c>
      <c r="F119" s="100">
        <v>190</v>
      </c>
      <c r="G119" s="82">
        <f t="shared" si="2"/>
        <v>950</v>
      </c>
      <c r="H119" s="7"/>
      <c r="I119" s="7"/>
    </row>
    <row r="120" spans="1:10" ht="15.75" x14ac:dyDescent="0.25">
      <c r="A120" s="742" t="s">
        <v>631</v>
      </c>
      <c r="B120" s="746"/>
      <c r="C120" s="333"/>
      <c r="D120" s="497" t="s">
        <v>120</v>
      </c>
      <c r="E120" s="353">
        <v>1</v>
      </c>
      <c r="F120" s="354">
        <v>2240</v>
      </c>
      <c r="G120" s="82">
        <f t="shared" si="2"/>
        <v>2240</v>
      </c>
      <c r="H120" s="7"/>
      <c r="I120" s="7"/>
    </row>
    <row r="121" spans="1:10" ht="15.75" x14ac:dyDescent="0.25">
      <c r="A121" s="352" t="s">
        <v>219</v>
      </c>
      <c r="B121" s="333"/>
      <c r="C121" s="333"/>
      <c r="D121" s="497" t="s">
        <v>120</v>
      </c>
      <c r="E121" s="353">
        <v>0</v>
      </c>
      <c r="F121" s="354">
        <v>500</v>
      </c>
      <c r="G121" s="82">
        <v>6137</v>
      </c>
      <c r="H121" s="7"/>
      <c r="I121" s="7"/>
    </row>
    <row r="122" spans="1:10" ht="15.75" x14ac:dyDescent="0.25">
      <c r="A122" s="352" t="s">
        <v>632</v>
      </c>
      <c r="B122" s="333"/>
      <c r="C122" s="333"/>
      <c r="D122" s="497" t="s">
        <v>120</v>
      </c>
      <c r="E122" s="353">
        <v>182</v>
      </c>
      <c r="F122" s="354">
        <v>100</v>
      </c>
      <c r="G122" s="82">
        <f t="shared" si="2"/>
        <v>18200</v>
      </c>
      <c r="H122" s="7"/>
      <c r="I122" s="7"/>
    </row>
    <row r="123" spans="1:10" ht="15.75" x14ac:dyDescent="0.25">
      <c r="A123" s="352" t="s">
        <v>633</v>
      </c>
      <c r="B123" s="333"/>
      <c r="C123" s="333"/>
      <c r="D123" s="497" t="s">
        <v>120</v>
      </c>
      <c r="E123" s="353">
        <v>1</v>
      </c>
      <c r="F123" s="354">
        <v>4600</v>
      </c>
      <c r="G123" s="82">
        <f t="shared" si="2"/>
        <v>4600</v>
      </c>
      <c r="H123" s="7"/>
      <c r="I123" s="7"/>
    </row>
    <row r="124" spans="1:10" ht="14.45" customHeight="1" x14ac:dyDescent="0.25">
      <c r="A124" s="724" t="s">
        <v>78</v>
      </c>
      <c r="B124" s="725"/>
      <c r="C124" s="336"/>
      <c r="D124" s="79"/>
      <c r="E124" s="79"/>
      <c r="F124" s="164"/>
      <c r="G124" s="262">
        <f>SUM(G59:G123)</f>
        <v>213600</v>
      </c>
      <c r="H124" s="7"/>
      <c r="I124" s="7"/>
    </row>
    <row r="125" spans="1:10" ht="36.75" customHeight="1" x14ac:dyDescent="0.25">
      <c r="A125" s="727" t="s">
        <v>238</v>
      </c>
      <c r="B125" s="727"/>
      <c r="C125" s="727"/>
      <c r="D125" s="727"/>
      <c r="E125" s="727"/>
      <c r="F125" s="727"/>
      <c r="G125" s="168"/>
      <c r="H125" s="7"/>
      <c r="I125" s="7"/>
    </row>
    <row r="126" spans="1:10" ht="15.75" x14ac:dyDescent="0.25">
      <c r="A126" s="11"/>
      <c r="B126" s="11"/>
      <c r="C126" s="11"/>
      <c r="D126" s="11"/>
      <c r="E126" s="11"/>
      <c r="F126" s="96">
        <f>D44</f>
        <v>0.26200000000000001</v>
      </c>
      <c r="G126" s="168"/>
      <c r="H126" s="7"/>
      <c r="I126" s="7"/>
    </row>
    <row r="127" spans="1:10" ht="15.75" customHeight="1" x14ac:dyDescent="0.25">
      <c r="A127" s="669" t="s">
        <v>0</v>
      </c>
      <c r="B127" s="669"/>
      <c r="C127" s="331"/>
      <c r="D127" s="689" t="s">
        <v>153</v>
      </c>
      <c r="E127" s="689" t="s">
        <v>157</v>
      </c>
      <c r="F127" s="689" t="s">
        <v>163</v>
      </c>
      <c r="G127" s="689" t="s">
        <v>6</v>
      </c>
      <c r="H127" s="7"/>
      <c r="I127" s="7"/>
      <c r="J127" s="7"/>
    </row>
    <row r="128" spans="1:10" ht="53.25" customHeight="1" x14ac:dyDescent="0.25">
      <c r="A128" s="669"/>
      <c r="B128" s="669"/>
      <c r="C128" s="331"/>
      <c r="D128" s="690"/>
      <c r="E128" s="690"/>
      <c r="F128" s="690"/>
      <c r="G128" s="726"/>
      <c r="H128" s="7"/>
      <c r="I128" s="7"/>
      <c r="J128" s="7"/>
    </row>
    <row r="129" spans="1:10" ht="15.75" x14ac:dyDescent="0.25">
      <c r="A129" s="669">
        <v>1</v>
      </c>
      <c r="B129" s="669"/>
      <c r="C129" s="331"/>
      <c r="D129" s="441">
        <v>2</v>
      </c>
      <c r="E129" s="441">
        <v>3</v>
      </c>
      <c r="F129" s="331">
        <v>4</v>
      </c>
      <c r="G129" s="441">
        <v>5</v>
      </c>
      <c r="H129" s="7"/>
      <c r="I129" s="7"/>
      <c r="J129" s="7"/>
    </row>
    <row r="130" spans="1:10" ht="15.75" x14ac:dyDescent="0.25">
      <c r="A130" s="721" t="s">
        <v>139</v>
      </c>
      <c r="B130" s="721"/>
      <c r="C130" s="102"/>
      <c r="D130" s="80">
        <f>F126</f>
        <v>0.26200000000000001</v>
      </c>
      <c r="E130" s="331">
        <f>'патриотика0,369'!D177</f>
        <v>8780.94</v>
      </c>
      <c r="F130" s="77">
        <f>E130*30.2%</f>
        <v>2651.8438799999999</v>
      </c>
      <c r="G130" s="77">
        <f>(E130+F130)*0.262</f>
        <v>2995.3893765600005</v>
      </c>
      <c r="H130" s="7"/>
      <c r="I130" s="7"/>
      <c r="J130" s="7"/>
    </row>
    <row r="131" spans="1:10" ht="15.75" x14ac:dyDescent="0.25">
      <c r="A131" s="722" t="s">
        <v>85</v>
      </c>
      <c r="B131" s="723"/>
      <c r="C131" s="102"/>
      <c r="D131" s="80">
        <f>0.5*F126</f>
        <v>0.13100000000000001</v>
      </c>
      <c r="E131" s="441">
        <f>'патриотика0,369'!D178</f>
        <v>18467.580000000002</v>
      </c>
      <c r="F131" s="77">
        <f t="shared" ref="F131:F132" si="3">E131*30.2%</f>
        <v>5577.2091600000003</v>
      </c>
      <c r="G131" s="77">
        <f t="shared" ref="G131:G132" si="4">(E131+F131)*0.262</f>
        <v>6299.7347599200002</v>
      </c>
      <c r="H131" s="7"/>
      <c r="I131" s="7"/>
      <c r="J131" s="7"/>
    </row>
    <row r="132" spans="1:10" ht="15.75" x14ac:dyDescent="0.25">
      <c r="A132" s="721" t="s">
        <v>140</v>
      </c>
      <c r="B132" s="721"/>
      <c r="C132" s="102"/>
      <c r="D132" s="80">
        <f>F126</f>
        <v>0.26200000000000001</v>
      </c>
      <c r="E132" s="441">
        <f>'патриотика0,369'!D179</f>
        <v>18474.88</v>
      </c>
      <c r="F132" s="77">
        <f t="shared" si="3"/>
        <v>5579.4137600000004</v>
      </c>
      <c r="G132" s="77">
        <f t="shared" si="4"/>
        <v>6302.22496512</v>
      </c>
      <c r="H132" s="7"/>
      <c r="I132" s="7"/>
      <c r="J132" s="7"/>
    </row>
    <row r="133" spans="1:10" ht="15.75" x14ac:dyDescent="0.25">
      <c r="A133" s="669" t="s">
        <v>28</v>
      </c>
      <c r="B133" s="669"/>
      <c r="C133" s="669"/>
      <c r="D133" s="669"/>
      <c r="E133" s="669"/>
      <c r="F133" s="669"/>
      <c r="G133" s="77">
        <f>SUM(G130:G132)-0.09</f>
        <v>15597.259101600001</v>
      </c>
      <c r="H133" s="7"/>
      <c r="I133" s="7"/>
      <c r="J133" s="7"/>
    </row>
    <row r="134" spans="1:10" ht="14.45" customHeight="1" x14ac:dyDescent="0.25">
      <c r="A134" s="617" t="s">
        <v>244</v>
      </c>
      <c r="B134" s="617"/>
      <c r="C134" s="617"/>
      <c r="D134" s="617"/>
      <c r="E134" s="617"/>
      <c r="F134" s="617"/>
      <c r="G134" s="617"/>
      <c r="H134" s="617"/>
    </row>
    <row r="135" spans="1:10" ht="14.45" customHeight="1" x14ac:dyDescent="0.25">
      <c r="A135" s="310"/>
      <c r="B135" s="310"/>
      <c r="C135" s="306"/>
      <c r="D135" s="310"/>
      <c r="E135" s="306"/>
      <c r="F135" s="306">
        <v>0.26200000000000001</v>
      </c>
      <c r="G135" s="310"/>
      <c r="H135" s="306"/>
    </row>
    <row r="136" spans="1:10" s="7" customFormat="1" ht="31.5" customHeight="1" x14ac:dyDescent="0.25">
      <c r="A136" s="285" t="s">
        <v>0</v>
      </c>
      <c r="B136" s="614" t="s">
        <v>1</v>
      </c>
      <c r="C136" s="302"/>
      <c r="D136" s="614" t="s">
        <v>2</v>
      </c>
      <c r="E136" s="555" t="s">
        <v>3</v>
      </c>
      <c r="F136" s="556"/>
      <c r="G136" s="716" t="s">
        <v>35</v>
      </c>
      <c r="H136" s="302" t="s">
        <v>5</v>
      </c>
      <c r="I136" s="614" t="s">
        <v>6</v>
      </c>
    </row>
    <row r="137" spans="1:10" s="7" customFormat="1" ht="30" x14ac:dyDescent="0.25">
      <c r="A137" s="368"/>
      <c r="B137" s="715"/>
      <c r="C137" s="302"/>
      <c r="D137" s="715"/>
      <c r="E137" s="302" t="s">
        <v>264</v>
      </c>
      <c r="F137" s="302" t="s">
        <v>263</v>
      </c>
      <c r="G137" s="717"/>
      <c r="H137" s="302" t="s">
        <v>49</v>
      </c>
      <c r="I137" s="715"/>
    </row>
    <row r="138" spans="1:10" s="7" customFormat="1" ht="15.75" x14ac:dyDescent="0.25">
      <c r="A138" s="369"/>
      <c r="B138" s="615"/>
      <c r="C138" s="302"/>
      <c r="D138" s="615"/>
      <c r="E138" s="302" t="s">
        <v>4</v>
      </c>
      <c r="F138" s="53"/>
      <c r="G138" s="718"/>
      <c r="H138" s="302" t="s">
        <v>266</v>
      </c>
      <c r="I138" s="615"/>
    </row>
    <row r="139" spans="1:10" s="7" customFormat="1" ht="15.75" x14ac:dyDescent="0.25">
      <c r="A139" s="689">
        <v>1</v>
      </c>
      <c r="B139" s="614">
        <v>2</v>
      </c>
      <c r="C139" s="302"/>
      <c r="D139" s="614">
        <v>3</v>
      </c>
      <c r="E139" s="614" t="s">
        <v>265</v>
      </c>
      <c r="F139" s="614">
        <v>5</v>
      </c>
      <c r="G139" s="716" t="s">
        <v>7</v>
      </c>
      <c r="H139" s="302" t="s">
        <v>50</v>
      </c>
      <c r="I139" s="614" t="s">
        <v>51</v>
      </c>
    </row>
    <row r="140" spans="1:10" s="7" customFormat="1" ht="15.75" x14ac:dyDescent="0.25">
      <c r="A140" s="690"/>
      <c r="B140" s="615"/>
      <c r="C140" s="302"/>
      <c r="D140" s="615"/>
      <c r="E140" s="615"/>
      <c r="F140" s="615"/>
      <c r="G140" s="718"/>
      <c r="H140" s="54">
        <v>1774.4</v>
      </c>
      <c r="I140" s="615"/>
    </row>
    <row r="141" spans="1:10" s="7" customFormat="1" ht="15.75" x14ac:dyDescent="0.25">
      <c r="A141" s="370" t="str">
        <f>'инновации+добровольчество0,369'!A147</f>
        <v>Заведующий МЦ</v>
      </c>
      <c r="B141" s="88">
        <v>82921.14</v>
      </c>
      <c r="C141" s="88"/>
      <c r="D141" s="302">
        <f>1*F135</f>
        <v>0.26200000000000001</v>
      </c>
      <c r="E141" s="56">
        <f>D141*1774.4</f>
        <v>464.89280000000002</v>
      </c>
      <c r="F141" s="57">
        <v>1</v>
      </c>
      <c r="G141" s="58">
        <f>E141/F141</f>
        <v>464.89280000000002</v>
      </c>
      <c r="H141" s="56">
        <f>B141*1.302/1774.4*12</f>
        <v>730.13970432822362</v>
      </c>
      <c r="I141" s="56">
        <f>G141*H141</f>
        <v>339436.69153632002</v>
      </c>
    </row>
    <row r="142" spans="1:10" s="7" customFormat="1" ht="15.75" x14ac:dyDescent="0.25">
      <c r="A142" s="370" t="str">
        <f>'инновации+добровольчество0,369'!A148</f>
        <v>Водитель</v>
      </c>
      <c r="B142" s="37">
        <v>29422</v>
      </c>
      <c r="C142" s="172"/>
      <c r="D142" s="302">
        <f>1*F135</f>
        <v>0.26200000000000001</v>
      </c>
      <c r="E142" s="56">
        <f>D142*1774.4</f>
        <v>464.89280000000002</v>
      </c>
      <c r="F142" s="57">
        <v>1</v>
      </c>
      <c r="G142" s="58">
        <f t="shared" ref="G142:G144" si="5">E142/F142</f>
        <v>464.89280000000002</v>
      </c>
      <c r="H142" s="56">
        <f>B142*1.302/1774.4*12</f>
        <v>259.06747520288548</v>
      </c>
      <c r="I142" s="56">
        <f>G142*H142</f>
        <v>120438.603936</v>
      </c>
    </row>
    <row r="143" spans="1:10" s="7" customFormat="1" ht="15.75" x14ac:dyDescent="0.25">
      <c r="A143" s="370" t="str">
        <f>'инновации+добровольчество0,369'!A149</f>
        <v>Рабочий по обслуживанию здания</v>
      </c>
      <c r="B143" s="58">
        <v>29422</v>
      </c>
      <c r="C143" s="58"/>
      <c r="D143" s="302">
        <f>0.5*F135</f>
        <v>0.13100000000000001</v>
      </c>
      <c r="E143" s="56">
        <f>D143*1774.4</f>
        <v>232.44640000000001</v>
      </c>
      <c r="F143" s="57">
        <v>1</v>
      </c>
      <c r="G143" s="58">
        <f t="shared" si="5"/>
        <v>232.44640000000001</v>
      </c>
      <c r="H143" s="56">
        <f>B143*1.302/1774.4*12</f>
        <v>259.06747520288548</v>
      </c>
      <c r="I143" s="56">
        <f>G143*H143</f>
        <v>60219.301968</v>
      </c>
    </row>
    <row r="144" spans="1:10" s="7" customFormat="1" ht="15.75" x14ac:dyDescent="0.25">
      <c r="A144" s="370" t="str">
        <f>'инновации+добровольчество0,369'!A150</f>
        <v>Уборщик служебных помещений</v>
      </c>
      <c r="B144" s="37">
        <v>29422</v>
      </c>
      <c r="C144" s="304"/>
      <c r="D144" s="302">
        <f>1*F135</f>
        <v>0.26200000000000001</v>
      </c>
      <c r="E144" s="56">
        <f>D144*1774.4</f>
        <v>464.89280000000002</v>
      </c>
      <c r="F144" s="57">
        <v>1</v>
      </c>
      <c r="G144" s="58">
        <f t="shared" si="5"/>
        <v>464.89280000000002</v>
      </c>
      <c r="H144" s="56">
        <f>B144*1.302/1774.4*12</f>
        <v>259.06747520288548</v>
      </c>
      <c r="I144" s="56">
        <f>G144*H144</f>
        <v>120438.603936</v>
      </c>
      <c r="J144" s="168"/>
    </row>
    <row r="145" spans="1:9" s="7" customFormat="1" ht="15.75" x14ac:dyDescent="0.25">
      <c r="A145" s="679" t="s">
        <v>28</v>
      </c>
      <c r="B145" s="680"/>
      <c r="C145" s="680"/>
      <c r="D145" s="680"/>
      <c r="E145" s="680"/>
      <c r="F145" s="681"/>
      <c r="G145" s="327"/>
      <c r="H145" s="327"/>
      <c r="I145" s="367">
        <f>SUM(I141:I144)</f>
        <v>640533.2013763201</v>
      </c>
    </row>
    <row r="146" spans="1:9" ht="18.75" x14ac:dyDescent="0.25">
      <c r="A146" s="310"/>
      <c r="B146" s="152"/>
      <c r="C146" s="152"/>
      <c r="D146" s="212"/>
      <c r="E146" s="212"/>
      <c r="F146" s="212"/>
      <c r="G146" s="212"/>
      <c r="H146" s="214"/>
    </row>
    <row r="147" spans="1:9" ht="15.75" x14ac:dyDescent="0.25">
      <c r="A147" s="4"/>
      <c r="B147" s="162"/>
      <c r="C147" s="162"/>
      <c r="D147" s="162"/>
      <c r="E147" s="162"/>
      <c r="F147" s="162"/>
      <c r="G147" s="168"/>
      <c r="H147" s="7"/>
      <c r="I147" s="7"/>
    </row>
    <row r="148" spans="1:9" ht="15.75" x14ac:dyDescent="0.25">
      <c r="A148" s="561" t="s">
        <v>12</v>
      </c>
      <c r="B148" s="561"/>
      <c r="C148" s="561"/>
      <c r="D148" s="561"/>
      <c r="E148" s="561"/>
      <c r="F148" s="561"/>
      <c r="G148" s="168"/>
      <c r="H148" s="7"/>
      <c r="I148" s="7"/>
    </row>
    <row r="149" spans="1:9" ht="15.75" x14ac:dyDescent="0.25">
      <c r="A149" s="162"/>
      <c r="B149" s="162"/>
      <c r="C149" s="162"/>
      <c r="D149" s="162"/>
      <c r="E149" s="162"/>
      <c r="F149" s="167">
        <f>F126</f>
        <v>0.26200000000000001</v>
      </c>
      <c r="G149" s="168"/>
      <c r="H149" s="7"/>
      <c r="I149" s="7"/>
    </row>
    <row r="150" spans="1:9" ht="15.75" x14ac:dyDescent="0.25">
      <c r="A150" s="669" t="s">
        <v>13</v>
      </c>
      <c r="B150" s="669" t="s">
        <v>11</v>
      </c>
      <c r="C150" s="331"/>
      <c r="D150" s="669" t="s">
        <v>14</v>
      </c>
      <c r="E150" s="669" t="s">
        <v>88</v>
      </c>
      <c r="F150" s="669" t="s">
        <v>6</v>
      </c>
      <c r="G150" s="168"/>
      <c r="H150" s="7"/>
      <c r="I150" s="7"/>
    </row>
    <row r="151" spans="1:9" ht="3.6" customHeight="1" x14ac:dyDescent="0.25">
      <c r="A151" s="669"/>
      <c r="B151" s="669"/>
      <c r="C151" s="331"/>
      <c r="D151" s="669"/>
      <c r="E151" s="669"/>
      <c r="F151" s="669"/>
      <c r="G151" s="168"/>
      <c r="H151" s="7"/>
      <c r="I151" s="7"/>
    </row>
    <row r="152" spans="1:9" ht="15.75" x14ac:dyDescent="0.25">
      <c r="A152" s="331">
        <v>1</v>
      </c>
      <c r="B152" s="331">
        <v>2</v>
      </c>
      <c r="C152" s="331"/>
      <c r="D152" s="331">
        <v>3</v>
      </c>
      <c r="E152" s="331">
        <v>4</v>
      </c>
      <c r="F152" s="331" t="s">
        <v>172</v>
      </c>
      <c r="G152" s="168"/>
      <c r="H152" s="7"/>
      <c r="I152" s="7"/>
    </row>
    <row r="153" spans="1:9" ht="15.75" x14ac:dyDescent="0.25">
      <c r="A153" s="81" t="str">
        <f>'инновации+добровольчество0,369'!A176</f>
        <v>Теплоэнергия</v>
      </c>
      <c r="B153" s="331" t="str">
        <f>'инновации+добровольчество0,369'!B176</f>
        <v>Гкал</v>
      </c>
      <c r="C153" s="331"/>
      <c r="D153" s="407">
        <f>55*F149</f>
        <v>14.41</v>
      </c>
      <c r="E153" s="410">
        <v>3386.32</v>
      </c>
      <c r="F153" s="77">
        <f>D153*E153</f>
        <v>48796.871200000001</v>
      </c>
      <c r="G153" s="168"/>
      <c r="H153" s="7"/>
      <c r="I153" s="7"/>
    </row>
    <row r="154" spans="1:9" ht="15.75" x14ac:dyDescent="0.25">
      <c r="A154" s="81" t="str">
        <f>'инновации+добровольчество0,369'!A177</f>
        <v xml:space="preserve">Водоснабжение </v>
      </c>
      <c r="B154" s="331" t="str">
        <f>'инновации+добровольчество0,369'!B177</f>
        <v>м2</v>
      </c>
      <c r="C154" s="331"/>
      <c r="D154" s="381">
        <f>106.3*F149</f>
        <v>27.8506</v>
      </c>
      <c r="E154" s="375">
        <v>60.95</v>
      </c>
      <c r="F154" s="77">
        <f t="shared" ref="F154:F159" si="6">D154*E154</f>
        <v>1697.4940700000002</v>
      </c>
      <c r="G154" s="168"/>
      <c r="H154" s="7"/>
      <c r="I154" s="7"/>
    </row>
    <row r="155" spans="1:9" ht="15.75" x14ac:dyDescent="0.25">
      <c r="A155" s="81" t="str">
        <f>'инновации+добровольчество0,369'!A178</f>
        <v>Водоотведение (септик)</v>
      </c>
      <c r="B155" s="331" t="str">
        <f>'инновации+добровольчество0,369'!B178</f>
        <v>м3</v>
      </c>
      <c r="C155" s="331"/>
      <c r="D155" s="381">
        <f>2*F149</f>
        <v>0.52400000000000002</v>
      </c>
      <c r="E155" s="375">
        <v>10000</v>
      </c>
      <c r="F155" s="77">
        <f t="shared" si="6"/>
        <v>5240</v>
      </c>
      <c r="G155" s="168"/>
      <c r="H155" s="7"/>
      <c r="I155" s="7"/>
    </row>
    <row r="156" spans="1:9" ht="15.75" x14ac:dyDescent="0.25">
      <c r="A156" s="81" t="str">
        <f>'инновации+добровольчество0,369'!A179</f>
        <v>Электроэнергия</v>
      </c>
      <c r="B156" s="331" t="str">
        <f>'инновации+добровольчество0,369'!B179</f>
        <v>МВт час.</v>
      </c>
      <c r="C156" s="331"/>
      <c r="D156" s="381">
        <f>6*F149</f>
        <v>1.5720000000000001</v>
      </c>
      <c r="E156" s="375">
        <v>7224.49</v>
      </c>
      <c r="F156" s="77">
        <f t="shared" si="6"/>
        <v>11356.898279999999</v>
      </c>
      <c r="G156" s="168"/>
      <c r="H156" s="7"/>
      <c r="I156" s="7"/>
    </row>
    <row r="157" spans="1:9" ht="15.75" x14ac:dyDescent="0.25">
      <c r="A157" s="229" t="str">
        <f>'инновации+добровольчество0,369'!A180</f>
        <v>ТКО</v>
      </c>
      <c r="B157" s="331" t="str">
        <f>'инновации+добровольчество0,369'!B180</f>
        <v>договор</v>
      </c>
      <c r="C157" s="292"/>
      <c r="D157" s="381">
        <f>9*F149</f>
        <v>2.3580000000000001</v>
      </c>
      <c r="E157" s="375">
        <v>2134.85</v>
      </c>
      <c r="F157" s="77">
        <f t="shared" si="6"/>
        <v>5033.9763000000003</v>
      </c>
      <c r="G157" s="168"/>
      <c r="H157" s="7"/>
      <c r="I157" s="7"/>
    </row>
    <row r="158" spans="1:9" ht="16.5" thickBot="1" x14ac:dyDescent="0.3">
      <c r="A158" s="229" t="str">
        <f>'инновации+добровольчество0,369'!A181</f>
        <v>Электроэнергия (резерв)</v>
      </c>
      <c r="B158" s="331" t="str">
        <f>'инновации+добровольчество0,369'!B181</f>
        <v>МВт час.</v>
      </c>
      <c r="C158" s="292"/>
      <c r="D158" s="408">
        <f>F149</f>
        <v>0.26200000000000001</v>
      </c>
      <c r="E158" s="411">
        <v>7827.32</v>
      </c>
      <c r="F158" s="77">
        <f t="shared" si="6"/>
        <v>2050.7578400000002</v>
      </c>
      <c r="G158" s="168"/>
      <c r="H158" s="7"/>
      <c r="I158" s="7"/>
    </row>
    <row r="159" spans="1:9" ht="15.75" x14ac:dyDescent="0.25">
      <c r="A159" s="504" t="str">
        <f>A155</f>
        <v>Водоотведение (септик)</v>
      </c>
      <c r="B159" s="462" t="str">
        <f>B155</f>
        <v>м3</v>
      </c>
      <c r="C159" s="459"/>
      <c r="D159" s="505">
        <v>0.26200000000000001</v>
      </c>
      <c r="E159" s="506">
        <v>6000</v>
      </c>
      <c r="F159" s="77">
        <f t="shared" si="6"/>
        <v>1572</v>
      </c>
      <c r="G159" s="168"/>
      <c r="H159" s="7"/>
      <c r="I159" s="7"/>
    </row>
    <row r="160" spans="1:9" ht="18.75" x14ac:dyDescent="0.25">
      <c r="A160" s="728"/>
      <c r="B160" s="728"/>
      <c r="C160" s="728"/>
      <c r="D160" s="728"/>
      <c r="E160" s="728"/>
      <c r="F160" s="272">
        <f>SUM(F153:F159)</f>
        <v>75747.997690000004</v>
      </c>
      <c r="G160" s="168"/>
      <c r="H160" s="7"/>
      <c r="I160" s="7"/>
    </row>
    <row r="161" spans="1:9" ht="18.75" x14ac:dyDescent="0.25">
      <c r="A161" s="242"/>
      <c r="B161" s="242"/>
      <c r="C161" s="242"/>
      <c r="D161" s="242"/>
      <c r="E161" s="242"/>
      <c r="F161" s="243"/>
      <c r="G161" s="244"/>
      <c r="H161" s="7"/>
      <c r="I161" s="7"/>
    </row>
    <row r="162" spans="1:9" s="7" customFormat="1" ht="25.5" x14ac:dyDescent="0.25">
      <c r="A162" s="313" t="s">
        <v>109</v>
      </c>
      <c r="B162" s="325" t="s">
        <v>110</v>
      </c>
      <c r="C162" s="240"/>
      <c r="D162" s="325" t="s">
        <v>114</v>
      </c>
      <c r="E162" s="325" t="s">
        <v>111</v>
      </c>
      <c r="F162" s="325" t="s">
        <v>112</v>
      </c>
      <c r="G162" s="241" t="s">
        <v>6</v>
      </c>
    </row>
    <row r="163" spans="1:9" s="7" customFormat="1" ht="15.75" x14ac:dyDescent="0.25">
      <c r="A163" s="290">
        <v>1</v>
      </c>
      <c r="B163" s="292">
        <v>2</v>
      </c>
      <c r="C163" s="316"/>
      <c r="D163" s="292">
        <v>3</v>
      </c>
      <c r="E163" s="292">
        <v>4</v>
      </c>
      <c r="F163" s="292">
        <v>5</v>
      </c>
      <c r="G163" s="339" t="s">
        <v>267</v>
      </c>
    </row>
    <row r="164" spans="1:9" s="7" customFormat="1" ht="15.75" x14ac:dyDescent="0.25">
      <c r="A164" s="292" t="s">
        <v>113</v>
      </c>
      <c r="B164" s="292">
        <v>1</v>
      </c>
      <c r="C164" s="292">
        <f>'инновации+добровольчество0,369'!C167</f>
        <v>0</v>
      </c>
      <c r="D164" s="292">
        <f>'инновации+добровольчество0,369'!D167</f>
        <v>12</v>
      </c>
      <c r="E164" s="292">
        <f>'инновации+добровольчество0,369'!E167</f>
        <v>75</v>
      </c>
      <c r="F164" s="292">
        <v>900</v>
      </c>
      <c r="G164" s="165">
        <f>F164*F149</f>
        <v>235.8</v>
      </c>
    </row>
    <row r="165" spans="1:9" s="7" customFormat="1" ht="18.75" x14ac:dyDescent="0.25">
      <c r="A165" s="127"/>
      <c r="B165" s="127"/>
      <c r="C165" s="127"/>
      <c r="D165" s="127"/>
      <c r="E165" s="288" t="s">
        <v>86</v>
      </c>
      <c r="F165" s="128">
        <f>F164</f>
        <v>900</v>
      </c>
      <c r="G165" s="271">
        <f>G164</f>
        <v>235.8</v>
      </c>
    </row>
    <row r="166" spans="1:9" ht="15.75" x14ac:dyDescent="0.25">
      <c r="A166" s="697" t="s">
        <v>57</v>
      </c>
      <c r="B166" s="697"/>
      <c r="C166" s="697"/>
      <c r="D166" s="697"/>
      <c r="E166" s="697"/>
      <c r="F166" s="697"/>
      <c r="G166" s="168"/>
      <c r="H166" s="7"/>
      <c r="I166" s="7"/>
    </row>
    <row r="167" spans="1:9" ht="15.75" x14ac:dyDescent="0.25">
      <c r="A167" s="330" t="s">
        <v>79</v>
      </c>
      <c r="B167" s="6" t="s">
        <v>242</v>
      </c>
      <c r="C167" s="6"/>
      <c r="D167" s="6"/>
      <c r="E167" s="7"/>
      <c r="F167" s="7"/>
      <c r="G167" s="168"/>
      <c r="H167" s="7"/>
      <c r="I167" s="7"/>
    </row>
    <row r="168" spans="1:9" ht="15.75" x14ac:dyDescent="0.25">
      <c r="A168" s="7"/>
      <c r="B168" s="7"/>
      <c r="C168" s="7"/>
      <c r="D168" s="159">
        <f>F149</f>
        <v>0.26200000000000001</v>
      </c>
      <c r="E168" s="7"/>
      <c r="F168" s="7"/>
      <c r="G168" s="168"/>
      <c r="H168" s="7"/>
      <c r="I168" s="7"/>
    </row>
    <row r="169" spans="1:9" ht="15" customHeight="1" x14ac:dyDescent="0.25">
      <c r="A169" s="670" t="s">
        <v>119</v>
      </c>
      <c r="B169" s="670"/>
      <c r="C169" s="321"/>
      <c r="D169" s="670" t="s">
        <v>11</v>
      </c>
      <c r="E169" s="694" t="s">
        <v>46</v>
      </c>
      <c r="F169" s="694" t="s">
        <v>15</v>
      </c>
      <c r="G169" s="719" t="s">
        <v>6</v>
      </c>
      <c r="H169" s="7"/>
      <c r="I169" s="7"/>
    </row>
    <row r="170" spans="1:9" ht="15.75" x14ac:dyDescent="0.25">
      <c r="A170" s="670"/>
      <c r="B170" s="670"/>
      <c r="C170" s="321"/>
      <c r="D170" s="670"/>
      <c r="E170" s="695"/>
      <c r="F170" s="695"/>
      <c r="G170" s="720"/>
      <c r="H170" s="7"/>
      <c r="I170" s="7"/>
    </row>
    <row r="171" spans="1:9" ht="15.75" x14ac:dyDescent="0.25">
      <c r="A171" s="671">
        <v>1</v>
      </c>
      <c r="B171" s="672"/>
      <c r="C171" s="322"/>
      <c r="D171" s="321">
        <v>2</v>
      </c>
      <c r="E171" s="321">
        <v>3</v>
      </c>
      <c r="F171" s="321">
        <v>4</v>
      </c>
      <c r="G171" s="87" t="s">
        <v>66</v>
      </c>
      <c r="H171" s="7"/>
      <c r="I171" s="7"/>
    </row>
    <row r="172" spans="1:9" ht="15.75" x14ac:dyDescent="0.25">
      <c r="A172" s="673" t="str">
        <f>A48</f>
        <v>Суточные</v>
      </c>
      <c r="B172" s="674"/>
      <c r="C172" s="324"/>
      <c r="D172" s="321" t="str">
        <f>D48</f>
        <v>сутки</v>
      </c>
      <c r="E172" s="335">
        <f>19*4*D168</f>
        <v>19.911999999999999</v>
      </c>
      <c r="F172" s="335">
        <f>F48</f>
        <v>450</v>
      </c>
      <c r="G172" s="87">
        <f>E172*F172</f>
        <v>8960.4</v>
      </c>
      <c r="H172" s="7"/>
      <c r="I172" s="7"/>
    </row>
    <row r="173" spans="1:9" ht="15.75" x14ac:dyDescent="0.25">
      <c r="A173" s="673" t="str">
        <f>A49</f>
        <v>Проезд</v>
      </c>
      <c r="B173" s="674"/>
      <c r="C173" s="324"/>
      <c r="D173" s="321" t="str">
        <f>D49</f>
        <v xml:space="preserve">Ед. </v>
      </c>
      <c r="E173" s="335">
        <f>19*D168</f>
        <v>4.9779999999999998</v>
      </c>
      <c r="F173" s="335">
        <f>F49</f>
        <v>6000</v>
      </c>
      <c r="G173" s="87">
        <f t="shared" ref="G173" si="7">E173*F173</f>
        <v>29868</v>
      </c>
      <c r="H173" s="7"/>
      <c r="I173" s="7"/>
    </row>
    <row r="174" spans="1:9" ht="15.75" x14ac:dyDescent="0.25">
      <c r="A174" s="673" t="str">
        <f>A50</f>
        <v xml:space="preserve">Проживание </v>
      </c>
      <c r="B174" s="674"/>
      <c r="C174" s="324"/>
      <c r="D174" s="321" t="str">
        <f>D50</f>
        <v>сутки</v>
      </c>
      <c r="E174" s="335">
        <f>19*3*D168</f>
        <v>14.934000000000001</v>
      </c>
      <c r="F174" s="335">
        <f>F50</f>
        <v>1610.52</v>
      </c>
      <c r="G174" s="87">
        <f>E174*F174+0.09</f>
        <v>24051.595680000002</v>
      </c>
      <c r="H174" s="7"/>
      <c r="I174" s="7"/>
    </row>
    <row r="175" spans="1:9" ht="18.75" x14ac:dyDescent="0.25">
      <c r="A175" s="703" t="s">
        <v>56</v>
      </c>
      <c r="B175" s="704"/>
      <c r="C175" s="332"/>
      <c r="D175" s="321"/>
      <c r="E175" s="83"/>
      <c r="F175" s="83"/>
      <c r="G175" s="263">
        <f>SUM(G172:G174)</f>
        <v>62879.995680000007</v>
      </c>
      <c r="H175" s="7"/>
      <c r="I175" s="7"/>
    </row>
    <row r="176" spans="1:9" ht="15.75" x14ac:dyDescent="0.25">
      <c r="A176" s="693" t="s">
        <v>36</v>
      </c>
      <c r="B176" s="693"/>
      <c r="C176" s="693"/>
      <c r="D176" s="693"/>
      <c r="E176" s="693"/>
      <c r="F176" s="693"/>
      <c r="G176" s="190"/>
      <c r="H176" s="7"/>
      <c r="I176" s="7"/>
    </row>
    <row r="177" spans="1:9" ht="15.75" x14ac:dyDescent="0.25">
      <c r="A177" s="7"/>
      <c r="B177" s="7"/>
      <c r="C177" s="7"/>
      <c r="D177" s="166">
        <f>D168</f>
        <v>0.26200000000000001</v>
      </c>
      <c r="E177" s="7"/>
      <c r="F177" s="7"/>
      <c r="G177" s="168"/>
      <c r="H177" s="7"/>
      <c r="I177" s="7"/>
    </row>
    <row r="178" spans="1:9" ht="30" customHeight="1" x14ac:dyDescent="0.25">
      <c r="A178" s="670" t="s">
        <v>24</v>
      </c>
      <c r="B178" s="670" t="s">
        <v>11</v>
      </c>
      <c r="C178" s="321"/>
      <c r="D178" s="670" t="s">
        <v>46</v>
      </c>
      <c r="E178" s="670" t="s">
        <v>88</v>
      </c>
      <c r="F178" s="694" t="s">
        <v>175</v>
      </c>
      <c r="G178" s="719" t="s">
        <v>6</v>
      </c>
      <c r="H178" s="7"/>
      <c r="I178" s="7"/>
    </row>
    <row r="179" spans="1:9" ht="15.75" customHeight="1" x14ac:dyDescent="0.25">
      <c r="A179" s="670"/>
      <c r="B179" s="670"/>
      <c r="C179" s="321"/>
      <c r="D179" s="670"/>
      <c r="E179" s="670"/>
      <c r="F179" s="695"/>
      <c r="G179" s="720"/>
      <c r="H179" s="7"/>
      <c r="I179" s="7"/>
    </row>
    <row r="180" spans="1:9" ht="16.5" thickBot="1" x14ac:dyDescent="0.3">
      <c r="A180" s="321">
        <v>1</v>
      </c>
      <c r="B180" s="321">
        <v>2</v>
      </c>
      <c r="C180" s="321"/>
      <c r="D180" s="321">
        <v>3</v>
      </c>
      <c r="E180" s="321">
        <v>4</v>
      </c>
      <c r="F180" s="321">
        <v>5</v>
      </c>
      <c r="G180" s="82" t="s">
        <v>67</v>
      </c>
      <c r="H180" s="7"/>
      <c r="I180" s="7"/>
    </row>
    <row r="181" spans="1:9" ht="21.75" customHeight="1" x14ac:dyDescent="0.25">
      <c r="A181" s="412" t="s">
        <v>248</v>
      </c>
      <c r="B181" s="302" t="s">
        <v>22</v>
      </c>
      <c r="C181" s="321"/>
      <c r="D181" s="383">
        <v>0</v>
      </c>
      <c r="E181" s="410">
        <v>6.6</v>
      </c>
      <c r="F181" s="302">
        <v>12</v>
      </c>
      <c r="G181" s="82">
        <v>0</v>
      </c>
      <c r="H181" s="7"/>
      <c r="I181" s="7"/>
    </row>
    <row r="182" spans="1:9" ht="15.75" x14ac:dyDescent="0.25">
      <c r="A182" s="413" t="s">
        <v>249</v>
      </c>
      <c r="B182" s="302" t="s">
        <v>22</v>
      </c>
      <c r="C182" s="321"/>
      <c r="D182" s="380">
        <f>10.02*D177</f>
        <v>2.6252399999999998</v>
      </c>
      <c r="E182" s="375">
        <v>15</v>
      </c>
      <c r="F182" s="302">
        <v>12</v>
      </c>
      <c r="G182" s="82">
        <f>D182*E182*F182+0.09</f>
        <v>472.63319999999993</v>
      </c>
      <c r="H182" s="7"/>
      <c r="I182" s="7"/>
    </row>
    <row r="183" spans="1:9" ht="15.75" x14ac:dyDescent="0.25">
      <c r="A183" s="413" t="s">
        <v>174</v>
      </c>
      <c r="B183" s="302" t="s">
        <v>22</v>
      </c>
      <c r="C183" s="321"/>
      <c r="D183" s="381">
        <f>1*D177</f>
        <v>0.26200000000000001</v>
      </c>
      <c r="E183" s="382">
        <v>2183</v>
      </c>
      <c r="F183" s="302">
        <v>12</v>
      </c>
      <c r="G183" s="82">
        <f t="shared" ref="G183:G185" si="8">D183*E183*F183</f>
        <v>6863.3520000000008</v>
      </c>
      <c r="H183" s="7"/>
      <c r="I183" s="7"/>
    </row>
    <row r="184" spans="1:9" ht="15.75" x14ac:dyDescent="0.25">
      <c r="A184" s="413" t="s">
        <v>250</v>
      </c>
      <c r="B184" s="302" t="s">
        <v>22</v>
      </c>
      <c r="C184" s="321"/>
      <c r="D184" s="381">
        <f>1*D177</f>
        <v>0.26200000000000001</v>
      </c>
      <c r="E184" s="382">
        <v>8166.67</v>
      </c>
      <c r="F184" s="302">
        <v>12</v>
      </c>
      <c r="G184" s="82">
        <f t="shared" si="8"/>
        <v>25676.010479999997</v>
      </c>
      <c r="H184" s="7"/>
      <c r="I184" s="7"/>
    </row>
    <row r="185" spans="1:9" ht="16.5" thickBot="1" x14ac:dyDescent="0.3">
      <c r="A185" s="414" t="s">
        <v>268</v>
      </c>
      <c r="B185" s="302" t="s">
        <v>82</v>
      </c>
      <c r="C185" s="321"/>
      <c r="D185" s="381">
        <f>5*D177</f>
        <v>1.31</v>
      </c>
      <c r="E185" s="415">
        <v>424</v>
      </c>
      <c r="F185" s="302">
        <v>1</v>
      </c>
      <c r="G185" s="82">
        <f t="shared" si="8"/>
        <v>555.44000000000005</v>
      </c>
      <c r="H185" s="7"/>
      <c r="I185" s="7"/>
    </row>
    <row r="186" spans="1:9" ht="18.75" x14ac:dyDescent="0.3">
      <c r="A186" s="724" t="s">
        <v>26</v>
      </c>
      <c r="B186" s="729"/>
      <c r="C186" s="729"/>
      <c r="D186" s="729"/>
      <c r="E186" s="729"/>
      <c r="F186" s="725"/>
      <c r="G186" s="265">
        <f>SUM(G181:G185)</f>
        <v>33567.435680000002</v>
      </c>
      <c r="H186" s="7"/>
      <c r="I186" s="7"/>
    </row>
    <row r="187" spans="1:9" ht="15.75" x14ac:dyDescent="0.25">
      <c r="A187" s="693" t="s">
        <v>53</v>
      </c>
      <c r="B187" s="693"/>
      <c r="C187" s="693"/>
      <c r="D187" s="693"/>
      <c r="E187" s="693"/>
      <c r="F187" s="693"/>
      <c r="G187" s="168"/>
      <c r="H187" s="7"/>
      <c r="I187" s="7"/>
    </row>
    <row r="188" spans="1:9" ht="15.75" x14ac:dyDescent="0.25">
      <c r="A188" s="7"/>
      <c r="B188" s="7"/>
      <c r="C188" s="7"/>
      <c r="D188" s="166">
        <f>D177</f>
        <v>0.26200000000000001</v>
      </c>
      <c r="E188" s="7"/>
      <c r="F188" s="7"/>
      <c r="G188" s="168"/>
      <c r="H188" s="7"/>
      <c r="I188" s="7"/>
    </row>
    <row r="189" spans="1:9" ht="10.15" customHeight="1" x14ac:dyDescent="0.25">
      <c r="A189" s="670" t="s">
        <v>192</v>
      </c>
      <c r="B189" s="670" t="s">
        <v>11</v>
      </c>
      <c r="C189" s="321"/>
      <c r="D189" s="670" t="s">
        <v>46</v>
      </c>
      <c r="E189" s="670" t="s">
        <v>89</v>
      </c>
      <c r="F189" s="670" t="s">
        <v>25</v>
      </c>
      <c r="G189" s="719" t="s">
        <v>6</v>
      </c>
      <c r="H189" s="7"/>
      <c r="I189" s="7"/>
    </row>
    <row r="190" spans="1:9" ht="4.1500000000000004" customHeight="1" x14ac:dyDescent="0.25">
      <c r="A190" s="670"/>
      <c r="B190" s="670"/>
      <c r="C190" s="321"/>
      <c r="D190" s="670"/>
      <c r="E190" s="670"/>
      <c r="F190" s="670"/>
      <c r="G190" s="720"/>
      <c r="H190" s="7"/>
      <c r="I190" s="7"/>
    </row>
    <row r="191" spans="1:9" ht="15.75" x14ac:dyDescent="0.25">
      <c r="A191" s="321">
        <v>1</v>
      </c>
      <c r="B191" s="321">
        <v>2</v>
      </c>
      <c r="C191" s="321"/>
      <c r="D191" s="321">
        <v>3</v>
      </c>
      <c r="E191" s="321">
        <v>4</v>
      </c>
      <c r="F191" s="321">
        <v>5</v>
      </c>
      <c r="G191" s="82" t="s">
        <v>68</v>
      </c>
      <c r="H191" s="7"/>
      <c r="I191" s="7"/>
    </row>
    <row r="192" spans="1:9" ht="15.75" hidden="1" x14ac:dyDescent="0.25">
      <c r="A192" s="76" t="str">
        <f>'инновации+добровольчество0,369'!A209</f>
        <v>Проезд к месту учебы</v>
      </c>
      <c r="B192" s="321" t="s">
        <v>120</v>
      </c>
      <c r="C192" s="321"/>
      <c r="D192" s="321"/>
      <c r="E192" s="321"/>
      <c r="F192" s="321"/>
      <c r="G192" s="82"/>
      <c r="H192" s="7"/>
      <c r="I192" s="7"/>
    </row>
    <row r="193" spans="1:9" ht="15.75" x14ac:dyDescent="0.25">
      <c r="A193" s="73" t="s">
        <v>269</v>
      </c>
      <c r="B193" s="321" t="s">
        <v>22</v>
      </c>
      <c r="C193" s="321"/>
      <c r="D193" s="321">
        <f>1*D188</f>
        <v>0.26200000000000001</v>
      </c>
      <c r="E193" s="321">
        <v>20000</v>
      </c>
      <c r="F193" s="321">
        <v>1</v>
      </c>
      <c r="G193" s="82">
        <f>D193*E193*F193</f>
        <v>5240</v>
      </c>
      <c r="H193" s="7"/>
      <c r="I193" s="7"/>
    </row>
    <row r="194" spans="1:9" ht="18.75" x14ac:dyDescent="0.25">
      <c r="A194" s="724" t="s">
        <v>54</v>
      </c>
      <c r="B194" s="729"/>
      <c r="C194" s="729"/>
      <c r="D194" s="729"/>
      <c r="E194" s="729"/>
      <c r="F194" s="725"/>
      <c r="G194" s="261">
        <f>SUM(G192:G193)</f>
        <v>5240</v>
      </c>
      <c r="H194" s="7"/>
      <c r="I194" s="7"/>
    </row>
    <row r="195" spans="1:9" ht="15.75" x14ac:dyDescent="0.25">
      <c r="A195" s="730" t="s">
        <v>19</v>
      </c>
      <c r="B195" s="730"/>
      <c r="C195" s="730"/>
      <c r="D195" s="730"/>
      <c r="E195" s="730"/>
      <c r="F195" s="730"/>
      <c r="G195" s="168"/>
      <c r="H195" s="7"/>
      <c r="I195" s="7"/>
    </row>
    <row r="196" spans="1:9" ht="15.75" x14ac:dyDescent="0.25">
      <c r="A196" s="7"/>
      <c r="B196" s="7"/>
      <c r="C196" s="7"/>
      <c r="D196" s="166">
        <f>D188</f>
        <v>0.26200000000000001</v>
      </c>
      <c r="E196" s="7"/>
      <c r="F196" s="7"/>
      <c r="G196" s="168"/>
      <c r="H196" s="7"/>
      <c r="I196" s="7"/>
    </row>
    <row r="197" spans="1:9" ht="3.6" customHeight="1" x14ac:dyDescent="0.25">
      <c r="A197" s="670" t="s">
        <v>21</v>
      </c>
      <c r="B197" s="670" t="s">
        <v>11</v>
      </c>
      <c r="C197" s="321"/>
      <c r="D197" s="670" t="s">
        <v>14</v>
      </c>
      <c r="E197" s="670" t="s">
        <v>88</v>
      </c>
      <c r="F197" s="670" t="s">
        <v>6</v>
      </c>
      <c r="G197" s="168"/>
      <c r="H197" s="7"/>
      <c r="I197" s="7"/>
    </row>
    <row r="198" spans="1:9" ht="24" customHeight="1" x14ac:dyDescent="0.25">
      <c r="A198" s="670"/>
      <c r="B198" s="670"/>
      <c r="C198" s="321"/>
      <c r="D198" s="670"/>
      <c r="E198" s="670"/>
      <c r="F198" s="670"/>
      <c r="G198" s="168"/>
      <c r="H198" s="7"/>
      <c r="I198" s="7"/>
    </row>
    <row r="199" spans="1:9" ht="15.75" x14ac:dyDescent="0.25">
      <c r="A199" s="321">
        <v>1</v>
      </c>
      <c r="B199" s="321">
        <v>2</v>
      </c>
      <c r="C199" s="321"/>
      <c r="D199" s="321">
        <v>3</v>
      </c>
      <c r="E199" s="321">
        <v>4</v>
      </c>
      <c r="F199" s="321" t="s">
        <v>274</v>
      </c>
      <c r="G199" s="168"/>
      <c r="H199" s="7"/>
      <c r="I199" s="7"/>
    </row>
    <row r="200" spans="1:9" ht="31.5" x14ac:dyDescent="0.25">
      <c r="A200" s="423" t="s">
        <v>280</v>
      </c>
      <c r="B200" s="348" t="s">
        <v>22</v>
      </c>
      <c r="C200" s="348"/>
      <c r="D200" s="349">
        <v>0.26200000000000001</v>
      </c>
      <c r="E200" s="349">
        <v>477244.8</v>
      </c>
      <c r="F200" s="421">
        <f>D200*E200</f>
        <v>125038.1376</v>
      </c>
      <c r="G200" s="168"/>
      <c r="H200" s="7"/>
      <c r="I200" s="7"/>
    </row>
    <row r="201" spans="1:9" ht="15.75" x14ac:dyDescent="0.25">
      <c r="A201" s="350" t="s">
        <v>270</v>
      </c>
      <c r="B201" s="321" t="str">
        <f>'инновации+добровольчество0,369'!B220</f>
        <v>договор</v>
      </c>
      <c r="C201" s="321"/>
      <c r="D201" s="417">
        <f>12*D196</f>
        <v>3.1440000000000001</v>
      </c>
      <c r="E201" s="419">
        <v>2000</v>
      </c>
      <c r="F201" s="421">
        <f>D201*E201</f>
        <v>6288</v>
      </c>
      <c r="G201" s="168"/>
      <c r="H201" s="7"/>
      <c r="I201" s="7"/>
    </row>
    <row r="202" spans="1:9" ht="15.75" x14ac:dyDescent="0.25">
      <c r="A202" s="95" t="s">
        <v>179</v>
      </c>
      <c r="B202" s="321" t="str">
        <f>'инновации+добровольчество0,369'!B221</f>
        <v>договор</v>
      </c>
      <c r="C202" s="321"/>
      <c r="D202" s="158">
        <f>2*D196</f>
        <v>0.52400000000000002</v>
      </c>
      <c r="E202" s="385">
        <v>35707.5</v>
      </c>
      <c r="F202" s="421">
        <f t="shared" ref="F202:F224" si="9">D202*E202</f>
        <v>18710.73</v>
      </c>
      <c r="G202" s="168"/>
      <c r="H202" s="7"/>
      <c r="I202" s="7"/>
    </row>
    <row r="203" spans="1:9" ht="15.75" x14ac:dyDescent="0.25">
      <c r="A203" s="95" t="s">
        <v>200</v>
      </c>
      <c r="B203" s="321" t="str">
        <f>'инновации+добровольчество0,369'!B222</f>
        <v>договор</v>
      </c>
      <c r="C203" s="321"/>
      <c r="D203" s="158">
        <f>4*D196</f>
        <v>1.048</v>
      </c>
      <c r="E203" s="385">
        <v>1650.6</v>
      </c>
      <c r="F203" s="421">
        <f t="shared" si="9"/>
        <v>1729.8288</v>
      </c>
      <c r="G203" s="168"/>
      <c r="H203" s="7"/>
      <c r="I203" s="7"/>
    </row>
    <row r="204" spans="1:9" ht="15.75" x14ac:dyDescent="0.25">
      <c r="A204" s="95" t="s">
        <v>271</v>
      </c>
      <c r="B204" s="321" t="str">
        <f>'инновации+добровольчество0,369'!B223</f>
        <v>договор</v>
      </c>
      <c r="C204" s="321"/>
      <c r="D204" s="158">
        <f>12*D196</f>
        <v>3.1440000000000001</v>
      </c>
      <c r="E204" s="385">
        <v>1000</v>
      </c>
      <c r="F204" s="421">
        <f t="shared" si="9"/>
        <v>3144</v>
      </c>
      <c r="G204" s="168"/>
      <c r="H204" s="7"/>
      <c r="I204" s="7"/>
    </row>
    <row r="205" spans="1:9" ht="25.5" x14ac:dyDescent="0.25">
      <c r="A205" s="95" t="s">
        <v>106</v>
      </c>
      <c r="B205" s="321" t="str">
        <f>'инновации+добровольчество0,369'!B224</f>
        <v>договор</v>
      </c>
      <c r="C205" s="321"/>
      <c r="D205" s="158">
        <f>1*0.262</f>
        <v>0.26200000000000001</v>
      </c>
      <c r="E205" s="385">
        <v>50000</v>
      </c>
      <c r="F205" s="421">
        <f t="shared" si="9"/>
        <v>13100</v>
      </c>
      <c r="G205" s="168"/>
      <c r="H205" s="7"/>
      <c r="I205" s="7"/>
    </row>
    <row r="206" spans="1:9" ht="15.75" x14ac:dyDescent="0.25">
      <c r="A206" s="95" t="s">
        <v>204</v>
      </c>
      <c r="B206" s="321" t="str">
        <f>'инновации+добровольчество0,369'!B225</f>
        <v>договор</v>
      </c>
      <c r="C206" s="321"/>
      <c r="D206" s="158">
        <f>150*D196</f>
        <v>39.300000000000004</v>
      </c>
      <c r="E206" s="385">
        <v>181.43</v>
      </c>
      <c r="F206" s="421">
        <f t="shared" si="9"/>
        <v>7130.1990000000014</v>
      </c>
      <c r="G206" s="168"/>
      <c r="H206" s="7"/>
      <c r="I206" s="7"/>
    </row>
    <row r="207" spans="1:9" ht="15.75" x14ac:dyDescent="0.25">
      <c r="A207" s="95" t="s">
        <v>252</v>
      </c>
      <c r="B207" s="321" t="str">
        <f>'инновации+добровольчество0,369'!B226</f>
        <v>договор</v>
      </c>
      <c r="C207" s="321"/>
      <c r="D207" s="384">
        <f>12*D196</f>
        <v>3.1440000000000001</v>
      </c>
      <c r="E207" s="180">
        <v>1000</v>
      </c>
      <c r="F207" s="421">
        <f t="shared" si="9"/>
        <v>3144</v>
      </c>
      <c r="G207" s="168"/>
      <c r="H207" s="7"/>
      <c r="I207" s="7"/>
    </row>
    <row r="208" spans="1:9" ht="15.75" x14ac:dyDescent="0.25">
      <c r="A208" s="95" t="s">
        <v>272</v>
      </c>
      <c r="B208" s="321" t="str">
        <f>'инновации+добровольчество0,369'!B227</f>
        <v>договор</v>
      </c>
      <c r="C208" s="321"/>
      <c r="D208" s="418">
        <f>10*D196</f>
        <v>2.62</v>
      </c>
      <c r="E208" s="420">
        <v>700</v>
      </c>
      <c r="F208" s="421">
        <f t="shared" si="9"/>
        <v>1834</v>
      </c>
      <c r="G208" s="168"/>
      <c r="H208" s="7"/>
      <c r="I208" s="7"/>
    </row>
    <row r="209" spans="1:9" ht="15.75" x14ac:dyDescent="0.25">
      <c r="A209" s="416" t="s">
        <v>273</v>
      </c>
      <c r="B209" s="321" t="str">
        <f>'инновации+добровольчество0,369'!B229</f>
        <v>договор</v>
      </c>
      <c r="C209" s="321"/>
      <c r="D209" s="418">
        <f>1*D196</f>
        <v>0.26200000000000001</v>
      </c>
      <c r="E209" s="420">
        <v>19997.599999999999</v>
      </c>
      <c r="F209" s="421">
        <f t="shared" si="9"/>
        <v>5239.3711999999996</v>
      </c>
      <c r="G209" s="168"/>
      <c r="H209" s="7"/>
      <c r="I209" s="7"/>
    </row>
    <row r="210" spans="1:9" ht="15.75" x14ac:dyDescent="0.25">
      <c r="A210" s="95" t="s">
        <v>306</v>
      </c>
      <c r="B210" s="455" t="str">
        <f>'инновации+добровольчество0,369'!B230</f>
        <v>договор</v>
      </c>
      <c r="C210" s="455"/>
      <c r="D210" s="418">
        <v>0.26200000000000001</v>
      </c>
      <c r="E210" s="420">
        <v>16030</v>
      </c>
      <c r="F210" s="421">
        <f t="shared" si="9"/>
        <v>4199.8600000000006</v>
      </c>
      <c r="G210" s="168"/>
      <c r="H210" s="7"/>
      <c r="I210" s="7"/>
    </row>
    <row r="211" spans="1:9" ht="15.75" x14ac:dyDescent="0.25">
      <c r="A211" s="344" t="s">
        <v>253</v>
      </c>
      <c r="B211" s="321" t="str">
        <f>'инновации+добровольчество0,369'!B230</f>
        <v>договор</v>
      </c>
      <c r="C211" s="321"/>
      <c r="D211" s="70">
        <f>2*D196</f>
        <v>0.52400000000000002</v>
      </c>
      <c r="E211" s="387">
        <v>5000</v>
      </c>
      <c r="F211" s="351">
        <f t="shared" si="9"/>
        <v>2620</v>
      </c>
      <c r="G211" s="168"/>
      <c r="H211" s="7"/>
      <c r="I211" s="7"/>
    </row>
    <row r="212" spans="1:9" ht="15.75" x14ac:dyDescent="0.25">
      <c r="A212" s="344" t="s">
        <v>193</v>
      </c>
      <c r="B212" s="321" t="str">
        <f>'инновации+добровольчество0,369'!B231</f>
        <v>договор</v>
      </c>
      <c r="C212" s="321"/>
      <c r="D212" s="70">
        <f>1*D196</f>
        <v>0.26200000000000001</v>
      </c>
      <c r="E212" s="387">
        <v>1195</v>
      </c>
      <c r="F212" s="335">
        <f t="shared" si="9"/>
        <v>313.09000000000003</v>
      </c>
      <c r="G212" s="168"/>
      <c r="H212" s="7"/>
      <c r="I212" s="7"/>
    </row>
    <row r="213" spans="1:9" ht="15.75" x14ac:dyDescent="0.25">
      <c r="A213" s="344" t="s">
        <v>275</v>
      </c>
      <c r="B213" s="321" t="str">
        <f>'инновации+добровольчество0,369'!B232</f>
        <v>договор</v>
      </c>
      <c r="C213" s="321"/>
      <c r="D213" s="70">
        <f>150*D196</f>
        <v>39.300000000000004</v>
      </c>
      <c r="E213" s="387">
        <v>85</v>
      </c>
      <c r="F213" s="335">
        <f t="shared" si="9"/>
        <v>3340.5000000000005</v>
      </c>
      <c r="G213" s="168"/>
      <c r="H213" s="7"/>
      <c r="I213" s="7"/>
    </row>
    <row r="214" spans="1:9" ht="15.75" x14ac:dyDescent="0.25">
      <c r="A214" s="344" t="s">
        <v>198</v>
      </c>
      <c r="B214" s="321" t="str">
        <f>'инновации+добровольчество0,369'!B233</f>
        <v>договор</v>
      </c>
      <c r="C214" s="321"/>
      <c r="D214" s="70">
        <f>12*D196</f>
        <v>3.1440000000000001</v>
      </c>
      <c r="E214" s="387">
        <v>8000</v>
      </c>
      <c r="F214" s="335">
        <f t="shared" si="9"/>
        <v>25152</v>
      </c>
      <c r="G214" s="168"/>
      <c r="H214" s="7"/>
      <c r="I214" s="7"/>
    </row>
    <row r="215" spans="1:9" ht="15.75" x14ac:dyDescent="0.25">
      <c r="A215" s="344" t="s">
        <v>199</v>
      </c>
      <c r="B215" s="321" t="str">
        <f>'инновации+добровольчество0,369'!B234</f>
        <v>договор</v>
      </c>
      <c r="C215" s="321"/>
      <c r="D215" s="70">
        <f>12*D196</f>
        <v>3.1440000000000001</v>
      </c>
      <c r="E215" s="387">
        <v>5000</v>
      </c>
      <c r="F215" s="335">
        <f t="shared" si="9"/>
        <v>15720</v>
      </c>
      <c r="G215" s="168"/>
      <c r="H215" s="7"/>
      <c r="I215" s="7"/>
    </row>
    <row r="216" spans="1:9" ht="15.75" x14ac:dyDescent="0.25">
      <c r="A216" s="344" t="s">
        <v>201</v>
      </c>
      <c r="B216" s="321" t="str">
        <f>'инновации+добровольчество0,369'!B235</f>
        <v>договор</v>
      </c>
      <c r="C216" s="321"/>
      <c r="D216" s="70">
        <f>D196</f>
        <v>0.26200000000000001</v>
      </c>
      <c r="E216" s="387">
        <v>5500</v>
      </c>
      <c r="F216" s="335">
        <f t="shared" si="9"/>
        <v>1441</v>
      </c>
      <c r="G216" s="168"/>
      <c r="H216" s="7"/>
      <c r="I216" s="7"/>
    </row>
    <row r="217" spans="1:9" ht="27" x14ac:dyDescent="0.25">
      <c r="A217" s="389" t="s">
        <v>254</v>
      </c>
      <c r="B217" s="321" t="str">
        <f>'инновации+добровольчество0,369'!B236</f>
        <v>договор</v>
      </c>
      <c r="C217" s="321"/>
      <c r="D217" s="386">
        <f>D196</f>
        <v>0.26200000000000001</v>
      </c>
      <c r="E217" s="388">
        <v>4500</v>
      </c>
      <c r="F217" s="335">
        <f t="shared" si="9"/>
        <v>1179</v>
      </c>
      <c r="G217" s="168"/>
      <c r="H217" s="7"/>
      <c r="I217" s="7"/>
    </row>
    <row r="218" spans="1:9" ht="15.75" x14ac:dyDescent="0.25">
      <c r="A218" s="389" t="s">
        <v>255</v>
      </c>
      <c r="B218" s="321" t="str">
        <f>'инновации+добровольчество0,369'!B238</f>
        <v>договор</v>
      </c>
      <c r="C218" s="321"/>
      <c r="D218" s="386">
        <f>D196</f>
        <v>0.26200000000000001</v>
      </c>
      <c r="E218" s="388">
        <v>20555</v>
      </c>
      <c r="F218" s="335">
        <f t="shared" si="9"/>
        <v>5385.41</v>
      </c>
      <c r="G218" s="168"/>
      <c r="H218" s="7"/>
      <c r="I218" s="7"/>
    </row>
    <row r="219" spans="1:9" ht="15.75" x14ac:dyDescent="0.25">
      <c r="A219" s="389" t="str">
        <f>'патриотика0,369'!A268</f>
        <v>изготовление банера</v>
      </c>
      <c r="B219" s="445" t="str">
        <f>'инновации+добровольчество0,369'!B239</f>
        <v>договор</v>
      </c>
      <c r="C219" s="445"/>
      <c r="D219" s="386">
        <v>0.26200000000000001</v>
      </c>
      <c r="E219" s="388">
        <v>30000</v>
      </c>
      <c r="F219" s="446">
        <f>D219*E219</f>
        <v>7860</v>
      </c>
      <c r="G219" s="168"/>
      <c r="H219" s="7"/>
      <c r="I219" s="7"/>
    </row>
    <row r="220" spans="1:9" ht="15.75" x14ac:dyDescent="0.25">
      <c r="A220" s="389" t="s">
        <v>276</v>
      </c>
      <c r="B220" s="321" t="str">
        <f>'инновации+добровольчество0,369'!B239</f>
        <v>договор</v>
      </c>
      <c r="C220" s="321"/>
      <c r="D220" s="386">
        <f>4*D196</f>
        <v>1.048</v>
      </c>
      <c r="E220" s="388">
        <v>7400</v>
      </c>
      <c r="F220" s="335">
        <f t="shared" si="9"/>
        <v>7755.2000000000007</v>
      </c>
      <c r="G220" s="168"/>
      <c r="H220" s="7"/>
      <c r="I220" s="7"/>
    </row>
    <row r="221" spans="1:9" ht="15.75" hidden="1" x14ac:dyDescent="0.25">
      <c r="A221" s="76">
        <f>'инновации+добровольчество0,369'!A240</f>
        <v>0</v>
      </c>
      <c r="B221" s="321" t="str">
        <f>'инновации+добровольчество0,369'!B240</f>
        <v>договор</v>
      </c>
      <c r="C221" s="321"/>
      <c r="D221" s="386"/>
      <c r="E221" s="321">
        <f>'инновации+добровольчество0,369'!E240</f>
        <v>1000</v>
      </c>
      <c r="F221" s="335">
        <f t="shared" si="9"/>
        <v>0</v>
      </c>
      <c r="G221" s="168"/>
      <c r="H221" s="7"/>
      <c r="I221" s="7"/>
    </row>
    <row r="222" spans="1:9" ht="15.75" hidden="1" x14ac:dyDescent="0.25">
      <c r="A222" s="76">
        <f>'инновации+добровольчество0,369'!A241</f>
        <v>0</v>
      </c>
      <c r="B222" s="321" t="str">
        <f>'инновации+добровольчество0,369'!B241</f>
        <v>договор</v>
      </c>
      <c r="C222" s="321"/>
      <c r="D222" s="386"/>
      <c r="E222" s="321">
        <f>'инновации+добровольчество0,369'!E241</f>
        <v>5000</v>
      </c>
      <c r="F222" s="335">
        <f t="shared" si="9"/>
        <v>0</v>
      </c>
      <c r="G222" s="168"/>
      <c r="H222" s="7"/>
      <c r="I222" s="7"/>
    </row>
    <row r="223" spans="1:9" ht="15.75" hidden="1" x14ac:dyDescent="0.25">
      <c r="A223" s="76">
        <f>'инновации+добровольчество0,369'!A242</f>
        <v>0</v>
      </c>
      <c r="B223" s="321" t="str">
        <f>'инновации+добровольчество0,369'!B242</f>
        <v>договор</v>
      </c>
      <c r="C223" s="321"/>
      <c r="D223" s="386"/>
      <c r="E223" s="321">
        <f>'инновации+добровольчество0,369'!E242</f>
        <v>20718.32</v>
      </c>
      <c r="F223" s="335">
        <f t="shared" si="9"/>
        <v>0</v>
      </c>
      <c r="G223" s="168"/>
      <c r="H223" s="7"/>
      <c r="I223" s="7"/>
    </row>
    <row r="224" spans="1:9" ht="15.75" hidden="1" x14ac:dyDescent="0.25">
      <c r="A224" s="76">
        <f>'инновации+добровольчество0,369'!A243</f>
        <v>0</v>
      </c>
      <c r="B224" s="321" t="str">
        <f>'инновации+добровольчество0,369'!B243</f>
        <v>договор</v>
      </c>
      <c r="C224" s="321"/>
      <c r="D224" s="386"/>
      <c r="E224" s="321">
        <f>'инновации+добровольчество0,369'!E243</f>
        <v>100</v>
      </c>
      <c r="F224" s="335">
        <f t="shared" si="9"/>
        <v>0</v>
      </c>
      <c r="G224" s="168"/>
      <c r="H224" s="7"/>
      <c r="I224" s="7"/>
    </row>
    <row r="225" spans="1:9" ht="18.75" x14ac:dyDescent="0.25">
      <c r="A225" s="675" t="s">
        <v>23</v>
      </c>
      <c r="B225" s="676"/>
      <c r="C225" s="676"/>
      <c r="D225" s="676"/>
      <c r="E225" s="677"/>
      <c r="F225" s="275">
        <f>SUM(F200:F224)</f>
        <v>260324.32660000003</v>
      </c>
      <c r="G225" s="168"/>
      <c r="H225" s="7"/>
      <c r="I225" s="7"/>
    </row>
    <row r="226" spans="1:9" ht="15.75" x14ac:dyDescent="0.25">
      <c r="A226" s="707" t="s">
        <v>29</v>
      </c>
      <c r="B226" s="708"/>
      <c r="C226" s="708"/>
      <c r="D226" s="708"/>
      <c r="E226" s="708"/>
      <c r="F226" s="709"/>
      <c r="G226" s="168"/>
      <c r="H226" s="7"/>
      <c r="I226" s="7"/>
    </row>
    <row r="227" spans="1:9" ht="15.75" x14ac:dyDescent="0.25">
      <c r="A227" s="710">
        <f>D196</f>
        <v>0.26200000000000001</v>
      </c>
      <c r="B227" s="711"/>
      <c r="C227" s="711"/>
      <c r="D227" s="711"/>
      <c r="E227" s="711"/>
      <c r="F227" s="712"/>
      <c r="G227" s="168"/>
      <c r="H227" s="7"/>
      <c r="I227" s="7"/>
    </row>
    <row r="228" spans="1:9" ht="15.75" x14ac:dyDescent="0.25">
      <c r="A228" s="563" t="s">
        <v>30</v>
      </c>
      <c r="B228" s="563" t="s">
        <v>11</v>
      </c>
      <c r="C228" s="302"/>
      <c r="D228" s="563" t="s">
        <v>14</v>
      </c>
      <c r="E228" s="563" t="s">
        <v>15</v>
      </c>
      <c r="F228" s="563" t="s">
        <v>6</v>
      </c>
      <c r="G228" s="168"/>
      <c r="H228" s="7"/>
      <c r="I228" s="7"/>
    </row>
    <row r="229" spans="1:9" ht="3" customHeight="1" x14ac:dyDescent="0.25">
      <c r="A229" s="563"/>
      <c r="B229" s="563"/>
      <c r="C229" s="302"/>
      <c r="D229" s="563"/>
      <c r="E229" s="563"/>
      <c r="F229" s="563"/>
      <c r="G229" s="168"/>
      <c r="H229" s="7"/>
      <c r="I229" s="7"/>
    </row>
    <row r="230" spans="1:9" ht="15.75" x14ac:dyDescent="0.25">
      <c r="A230" s="302">
        <v>1</v>
      </c>
      <c r="B230" s="302">
        <v>2</v>
      </c>
      <c r="C230" s="302"/>
      <c r="D230" s="302">
        <v>3</v>
      </c>
      <c r="E230" s="302">
        <v>7</v>
      </c>
      <c r="F230" s="302" t="s">
        <v>173</v>
      </c>
      <c r="G230" s="168"/>
      <c r="H230" s="7"/>
      <c r="I230" s="7"/>
    </row>
    <row r="231" spans="1:9" ht="17.25" thickBot="1" x14ac:dyDescent="0.3">
      <c r="A231" s="422" t="s">
        <v>277</v>
      </c>
      <c r="B231" s="341" t="s">
        <v>279</v>
      </c>
      <c r="C231" s="341"/>
      <c r="D231" s="343">
        <f>2*A227</f>
        <v>0.52400000000000002</v>
      </c>
      <c r="E231" s="427">
        <v>5000</v>
      </c>
      <c r="F231" s="343">
        <f t="shared" ref="F231:F232" si="10">D231*E231</f>
        <v>2620</v>
      </c>
      <c r="G231" s="168"/>
      <c r="H231" s="7"/>
      <c r="I231" s="7"/>
    </row>
    <row r="232" spans="1:9" ht="17.25" thickBot="1" x14ac:dyDescent="0.3">
      <c r="A232" s="422" t="s">
        <v>278</v>
      </c>
      <c r="B232" s="341" t="s">
        <v>279</v>
      </c>
      <c r="C232" s="341"/>
      <c r="D232" s="343">
        <f>3*A227</f>
        <v>0.78600000000000003</v>
      </c>
      <c r="E232" s="427">
        <v>20000</v>
      </c>
      <c r="F232" s="343">
        <f t="shared" si="10"/>
        <v>15720</v>
      </c>
      <c r="G232" s="168"/>
      <c r="H232" s="7"/>
      <c r="I232" s="7"/>
    </row>
    <row r="233" spans="1:9" ht="16.5" x14ac:dyDescent="0.25">
      <c r="A233" s="424" t="str">
        <f>Лист1!B3</f>
        <v>КОНТРАКТ ООО ОПТИМА ХОЗЫ</v>
      </c>
      <c r="B233" s="84" t="s">
        <v>82</v>
      </c>
      <c r="C233" s="302"/>
      <c r="D233" s="426">
        <f>Лист1!C3*$A$227</f>
        <v>0.26200000000000001</v>
      </c>
      <c r="E233" s="426">
        <f>Лист1!D3</f>
        <v>260</v>
      </c>
      <c r="F233" s="305">
        <f>D233*E233</f>
        <v>68.12</v>
      </c>
      <c r="G233" s="168"/>
      <c r="H233" s="7"/>
      <c r="I233" s="7"/>
    </row>
    <row r="234" spans="1:9" ht="16.5" x14ac:dyDescent="0.25">
      <c r="A234" s="424" t="str">
        <f>Лист1!B4</f>
        <v>Кисть Акор "ЭКСПЕРТ"КФ- 25*8 натур.щетина /10/1050/</v>
      </c>
      <c r="B234" s="84" t="s">
        <v>82</v>
      </c>
      <c r="C234" s="302"/>
      <c r="D234" s="426">
        <f>Лист1!C4*$A$227</f>
        <v>0.26200000000000001</v>
      </c>
      <c r="E234" s="426">
        <f>Лист1!D4</f>
        <v>22</v>
      </c>
      <c r="F234" s="305">
        <f>D234*E234</f>
        <v>5.7640000000000002</v>
      </c>
      <c r="G234" s="168"/>
      <c r="H234" s="7"/>
      <c r="I234" s="7"/>
    </row>
    <row r="235" spans="1:9" ht="16.5" x14ac:dyDescent="0.25">
      <c r="A235" s="424" t="str">
        <f>Лист1!B5</f>
        <v>Лак БТ-577 (Кузбасслак)   0,9л СГ /6/</v>
      </c>
      <c r="B235" s="84" t="s">
        <v>82</v>
      </c>
      <c r="C235" s="302"/>
      <c r="D235" s="426">
        <f>Лист1!C5*$A$227</f>
        <v>0.26200000000000001</v>
      </c>
      <c r="E235" s="426">
        <f>Лист1!D5</f>
        <v>127</v>
      </c>
      <c r="F235" s="305">
        <f t="shared" ref="F235:F303" si="11">D235*E235</f>
        <v>33.274000000000001</v>
      </c>
      <c r="G235" s="168"/>
      <c r="H235" s="7"/>
      <c r="I235" s="7"/>
    </row>
    <row r="236" spans="1:9" ht="16.5" x14ac:dyDescent="0.25">
      <c r="A236" s="424" t="str">
        <f>Лист1!B6</f>
        <v>Морилка "Красное дерево" 0,50л водная  пэт</v>
      </c>
      <c r="B236" s="84" t="s">
        <v>82</v>
      </c>
      <c r="C236" s="302"/>
      <c r="D236" s="426">
        <f>Лист1!C6*$A$227</f>
        <v>0.52400000000000002</v>
      </c>
      <c r="E236" s="426">
        <f>Лист1!D6</f>
        <v>84</v>
      </c>
      <c r="F236" s="305">
        <f t="shared" ref="F236" si="12">D236*E236</f>
        <v>44.016000000000005</v>
      </c>
      <c r="G236" s="168"/>
      <c r="H236" s="7"/>
      <c r="I236" s="7"/>
    </row>
    <row r="237" spans="1:9" ht="16.5" x14ac:dyDescent="0.25">
      <c r="A237" s="424" t="str">
        <f>Лист1!B7</f>
        <v>Порожек стык 1,8 м дуб темный 60мм (6) ПС07.1800.091</v>
      </c>
      <c r="B237" s="84" t="s">
        <v>82</v>
      </c>
      <c r="C237" s="302"/>
      <c r="D237" s="426">
        <f>Лист1!C7*$A$227</f>
        <v>0.52400000000000002</v>
      </c>
      <c r="E237" s="426">
        <f>Лист1!D7</f>
        <v>490</v>
      </c>
      <c r="F237" s="305">
        <f t="shared" si="11"/>
        <v>256.76</v>
      </c>
      <c r="G237" s="168"/>
      <c r="H237" s="7"/>
      <c r="I237" s="7"/>
    </row>
    <row r="238" spans="1:9" ht="16.5" x14ac:dyDescent="0.25">
      <c r="A238" s="424" t="str">
        <f>Лист1!B8</f>
        <v>Профиль потолочный А-1 3,0м в сборе (Т) (20)</v>
      </c>
      <c r="B238" s="84" t="s">
        <v>82</v>
      </c>
      <c r="C238" s="302"/>
      <c r="D238" s="426">
        <f>Лист1!C8*$A$227</f>
        <v>0.26200000000000001</v>
      </c>
      <c r="E238" s="426">
        <f>Лист1!D8</f>
        <v>160</v>
      </c>
      <c r="F238" s="305">
        <f t="shared" si="11"/>
        <v>41.92</v>
      </c>
      <c r="G238" s="168"/>
      <c r="H238" s="7"/>
      <c r="I238" s="7"/>
    </row>
    <row r="239" spans="1:9" ht="16.5" x14ac:dyDescent="0.25">
      <c r="A239" s="424" t="str">
        <f>Лист1!B9</f>
        <v>STAYER MAXI, 105х55мм, стусло пластиковое</v>
      </c>
      <c r="B239" s="84" t="s">
        <v>82</v>
      </c>
      <c r="C239" s="302"/>
      <c r="D239" s="426">
        <f>Лист1!C9*$A$227</f>
        <v>0.26200000000000001</v>
      </c>
      <c r="E239" s="426">
        <f>Лист1!D9</f>
        <v>216</v>
      </c>
      <c r="F239" s="305">
        <f t="shared" si="11"/>
        <v>56.591999999999999</v>
      </c>
      <c r="G239" s="168"/>
      <c r="H239" s="7"/>
      <c r="I239" s="7"/>
    </row>
    <row r="240" spans="1:9" ht="33" x14ac:dyDescent="0.25">
      <c r="A240" s="424" t="str">
        <f>Лист1!B10</f>
        <v>Ножовка по металлу ЗУБР МХ-100, метал.рамка, пласт.ручка,натяжение 60кг, 300мм</v>
      </c>
      <c r="B240" s="84" t="s">
        <v>82</v>
      </c>
      <c r="C240" s="302"/>
      <c r="D240" s="426">
        <f>Лист1!C10*$A$227</f>
        <v>0.26200000000000001</v>
      </c>
      <c r="E240" s="426">
        <f>Лист1!D10</f>
        <v>275</v>
      </c>
      <c r="F240" s="305">
        <f t="shared" si="11"/>
        <v>72.05</v>
      </c>
      <c r="G240" s="168"/>
      <c r="H240" s="7"/>
      <c r="I240" s="7"/>
    </row>
    <row r="241" spans="1:9" ht="16.5" x14ac:dyDescent="0.25">
      <c r="A241" s="424" t="str">
        <f>Лист1!B11</f>
        <v>Ножовка ЗУБР Молния-5 по дереву, прямой крупный зуб, 500мм</v>
      </c>
      <c r="B241" s="84" t="s">
        <v>82</v>
      </c>
      <c r="C241" s="302"/>
      <c r="D241" s="426">
        <f>Лист1!C11*$A$227</f>
        <v>0.26200000000000001</v>
      </c>
      <c r="E241" s="426">
        <f>Лист1!D11</f>
        <v>634</v>
      </c>
      <c r="F241" s="305">
        <f t="shared" si="11"/>
        <v>166.108</v>
      </c>
      <c r="G241" s="168"/>
      <c r="H241" s="7"/>
      <c r="I241" s="7"/>
    </row>
    <row r="242" spans="1:9" ht="33" x14ac:dyDescent="0.25">
      <c r="A242" s="424" t="str">
        <f>Лист1!B12</f>
        <v>Рулетка ХК STANDART 10м*25мм, магнит, автостоп, обрезиненный корпус /12/60/</v>
      </c>
      <c r="B242" s="84" t="s">
        <v>82</v>
      </c>
      <c r="C242" s="302"/>
      <c r="D242" s="426">
        <f>Лист1!C12*$A$227</f>
        <v>0.52400000000000002</v>
      </c>
      <c r="E242" s="426">
        <f>Лист1!D12</f>
        <v>406</v>
      </c>
      <c r="F242" s="305">
        <f t="shared" si="11"/>
        <v>212.744</v>
      </c>
      <c r="G242" s="168"/>
      <c r="H242" s="7"/>
      <c r="I242" s="7"/>
    </row>
    <row r="243" spans="1:9" ht="16.5" x14ac:dyDescent="0.25">
      <c r="A243" s="424" t="str">
        <f>Лист1!B13</f>
        <v>Хомут нейлоновый 3,6х250мм 100шт белый /10/</v>
      </c>
      <c r="B243" s="84" t="s">
        <v>82</v>
      </c>
      <c r="C243" s="302"/>
      <c r="D243" s="426">
        <f>Лист1!C13*$A$227</f>
        <v>0.26200000000000001</v>
      </c>
      <c r="E243" s="426">
        <f>Лист1!D13</f>
        <v>147</v>
      </c>
      <c r="F243" s="305">
        <f t="shared" si="11"/>
        <v>38.514000000000003</v>
      </c>
      <c r="G243" s="168"/>
      <c r="H243" s="7"/>
      <c r="I243" s="7"/>
    </row>
    <row r="244" spans="1:9" ht="16.5" x14ac:dyDescent="0.25">
      <c r="A244" s="424" t="str">
        <f>Лист1!B14</f>
        <v>Хомут нейлоновый 3,6х350мм 100шт белый</v>
      </c>
      <c r="B244" s="84" t="s">
        <v>82</v>
      </c>
      <c r="C244" s="302"/>
      <c r="D244" s="426">
        <f>Лист1!C14*$A$227</f>
        <v>0.26200000000000001</v>
      </c>
      <c r="E244" s="426">
        <f>Лист1!D14</f>
        <v>205</v>
      </c>
      <c r="F244" s="305">
        <f t="shared" si="11"/>
        <v>53.71</v>
      </c>
      <c r="G244" s="168"/>
      <c r="H244" s="7"/>
      <c r="I244" s="7"/>
    </row>
    <row r="245" spans="1:9" ht="33" x14ac:dyDescent="0.25">
      <c r="A245" s="424" t="str">
        <f>Лист1!B15</f>
        <v>Нож ЕРМАК 18 мм, складной, двухкомпонентная рукоятка, сменное лезвие 649-015/1/</v>
      </c>
      <c r="B245" s="84" t="s">
        <v>82</v>
      </c>
      <c r="C245" s="302"/>
      <c r="D245" s="426">
        <f>Лист1!C15*$A$227</f>
        <v>0.26200000000000001</v>
      </c>
      <c r="E245" s="426">
        <f>Лист1!D15</f>
        <v>96</v>
      </c>
      <c r="F245" s="305">
        <f t="shared" ref="F245:F246" si="13">D245*E245</f>
        <v>25.152000000000001</v>
      </c>
      <c r="G245" s="168"/>
      <c r="H245" s="7"/>
      <c r="I245" s="7"/>
    </row>
    <row r="246" spans="1:9" ht="16.5" x14ac:dyDescent="0.25">
      <c r="A246" s="424" t="str">
        <f>Лист1!B16</f>
        <v>Сверло ЗУБР "МАСТЕР" по бетону ударное, 10x300мм</v>
      </c>
      <c r="B246" s="84" t="s">
        <v>82</v>
      </c>
      <c r="C246" s="302"/>
      <c r="D246" s="426">
        <f>Лист1!C16*$A$227</f>
        <v>0.26200000000000001</v>
      </c>
      <c r="E246" s="426">
        <f>Лист1!D16</f>
        <v>133</v>
      </c>
      <c r="F246" s="305">
        <f t="shared" si="13"/>
        <v>34.846000000000004</v>
      </c>
      <c r="G246" s="168"/>
      <c r="H246" s="7"/>
      <c r="I246" s="7"/>
    </row>
    <row r="247" spans="1:9" ht="33" x14ac:dyDescent="0.25">
      <c r="A247" s="424" t="str">
        <f>Лист1!B17</f>
        <v>Сверло ЗУБР "СУПЕР-6" по бетону ударное, шестигранный хвостовик, 8x300мм</v>
      </c>
      <c r="B247" s="84" t="s">
        <v>82</v>
      </c>
      <c r="C247" s="302"/>
      <c r="D247" s="426">
        <f>Лист1!C17*$A$227</f>
        <v>0.26200000000000001</v>
      </c>
      <c r="E247" s="426">
        <f>Лист1!D17</f>
        <v>189</v>
      </c>
      <c r="F247" s="305">
        <f t="shared" si="11"/>
        <v>49.518000000000001</v>
      </c>
      <c r="G247" s="168"/>
      <c r="H247" s="7"/>
      <c r="I247" s="7"/>
    </row>
    <row r="248" spans="1:9" ht="16.5" x14ac:dyDescent="0.25">
      <c r="A248" s="424" t="str">
        <f>Лист1!B18</f>
        <v>ЗУБР МАСТЕР 6 х 150  мм сверло по бетону</v>
      </c>
      <c r="B248" s="84" t="s">
        <v>82</v>
      </c>
      <c r="C248" s="302"/>
      <c r="D248" s="426">
        <f>Лист1!C18*$A$227</f>
        <v>0.26200000000000001</v>
      </c>
      <c r="E248" s="426">
        <f>Лист1!D18</f>
        <v>69</v>
      </c>
      <c r="F248" s="305">
        <f t="shared" si="11"/>
        <v>18.077999999999999</v>
      </c>
      <c r="G248" s="168"/>
      <c r="H248" s="7"/>
      <c r="I248" s="7"/>
    </row>
    <row r="249" spans="1:9" ht="16.5" x14ac:dyDescent="0.25">
      <c r="A249" s="424" t="str">
        <f>Лист1!B19</f>
        <v>ЗУБР МАСТЕР 4 х 75  мм сверло по бетону</v>
      </c>
      <c r="B249" s="84" t="s">
        <v>82</v>
      </c>
      <c r="C249" s="302"/>
      <c r="D249" s="426">
        <f>Лист1!C19*$A$227</f>
        <v>0.26200000000000001</v>
      </c>
      <c r="E249" s="426">
        <f>Лист1!D19</f>
        <v>40</v>
      </c>
      <c r="F249" s="305">
        <f t="shared" si="11"/>
        <v>10.48</v>
      </c>
      <c r="G249" s="168"/>
      <c r="H249" s="7"/>
      <c r="I249" s="7"/>
    </row>
    <row r="250" spans="1:9" ht="16.5" x14ac:dyDescent="0.25">
      <c r="A250" s="424" t="str">
        <f>Лист1!B20</f>
        <v>ЗУБР МАСТЕР 5 x 85  мм сверло по бетону</v>
      </c>
      <c r="B250" s="84" t="s">
        <v>82</v>
      </c>
      <c r="C250" s="302"/>
      <c r="D250" s="426">
        <f>Лист1!C20*$A$227</f>
        <v>0.26200000000000001</v>
      </c>
      <c r="E250" s="426">
        <f>Лист1!D20</f>
        <v>48</v>
      </c>
      <c r="F250" s="305">
        <f t="shared" si="11"/>
        <v>12.576000000000001</v>
      </c>
      <c r="G250" s="168"/>
      <c r="H250" s="7"/>
      <c r="I250" s="7"/>
    </row>
    <row r="251" spans="1:9" ht="33" x14ac:dyDescent="0.25">
      <c r="A251" s="424" t="str">
        <f>Лист1!B21</f>
        <v>Плинтус напольный с кабель-каналом Line Plast L048 Ироко 58мм*2,5м (40) L048 Ироко</v>
      </c>
      <c r="B251" s="84" t="s">
        <v>82</v>
      </c>
      <c r="C251" s="302"/>
      <c r="D251" s="426">
        <f>Лист1!C21*$A$227</f>
        <v>4.7160000000000002</v>
      </c>
      <c r="E251" s="426">
        <f>Лист1!D21</f>
        <v>89</v>
      </c>
      <c r="F251" s="305">
        <f t="shared" si="11"/>
        <v>419.72399999999999</v>
      </c>
      <c r="G251" s="168"/>
      <c r="H251" s="7"/>
      <c r="I251" s="7"/>
    </row>
    <row r="252" spans="1:9" ht="16.5" x14ac:dyDescent="0.25">
      <c r="A252" s="424" t="str">
        <f>Лист1!B22</f>
        <v>Угол наружный Line Plast L048 Ироко 58мм</v>
      </c>
      <c r="B252" s="84" t="s">
        <v>82</v>
      </c>
      <c r="C252" s="302"/>
      <c r="D252" s="426">
        <f>Лист1!C22*$A$227</f>
        <v>3.1440000000000001</v>
      </c>
      <c r="E252" s="426">
        <f>Лист1!D22</f>
        <v>15</v>
      </c>
      <c r="F252" s="305">
        <f t="shared" si="11"/>
        <v>47.160000000000004</v>
      </c>
      <c r="G252" s="168"/>
      <c r="H252" s="7"/>
      <c r="I252" s="7"/>
    </row>
    <row r="253" spans="1:9" ht="16.5" x14ac:dyDescent="0.25">
      <c r="A253" s="424" t="str">
        <f>Лист1!B23</f>
        <v>Угол внутренний Line Plast L048 Ироко 58мм</v>
      </c>
      <c r="B253" s="84" t="s">
        <v>82</v>
      </c>
      <c r="C253" s="302"/>
      <c r="D253" s="426">
        <f>Лист1!C23*$A$227</f>
        <v>3.1440000000000001</v>
      </c>
      <c r="E253" s="426">
        <f>Лист1!D23</f>
        <v>15</v>
      </c>
      <c r="F253" s="305">
        <f t="shared" si="11"/>
        <v>47.160000000000004</v>
      </c>
      <c r="G253" s="168"/>
      <c r="H253" s="7"/>
      <c r="I253" s="7"/>
    </row>
    <row r="254" spans="1:9" ht="16.5" x14ac:dyDescent="0.25">
      <c r="A254" s="424" t="str">
        <f>Лист1!B24</f>
        <v>Соединитель Line Plast L048 Ироко 58мм (50)</v>
      </c>
      <c r="B254" s="84" t="s">
        <v>82</v>
      </c>
      <c r="C254" s="302"/>
      <c r="D254" s="426">
        <f>Лист1!C24*$A$227</f>
        <v>5.24</v>
      </c>
      <c r="E254" s="426">
        <f>Лист1!D24</f>
        <v>15</v>
      </c>
      <c r="F254" s="305">
        <f t="shared" si="11"/>
        <v>78.600000000000009</v>
      </c>
      <c r="G254" s="168"/>
      <c r="H254" s="7"/>
      <c r="I254" s="7"/>
    </row>
    <row r="255" spans="1:9" ht="16.5" x14ac:dyDescent="0.25">
      <c r="A255" s="424" t="str">
        <f>Лист1!B25</f>
        <v>Торцевик Line Plast L048 Ироко левый 58мм (50)</v>
      </c>
      <c r="B255" s="84" t="s">
        <v>82</v>
      </c>
      <c r="C255" s="302"/>
      <c r="D255" s="426">
        <f>Лист1!C25*$A$227</f>
        <v>1.5720000000000001</v>
      </c>
      <c r="E255" s="426">
        <f>Лист1!D25</f>
        <v>15</v>
      </c>
      <c r="F255" s="305">
        <f t="shared" si="11"/>
        <v>23.580000000000002</v>
      </c>
      <c r="G255" s="168"/>
      <c r="H255" s="7"/>
      <c r="I255" s="7"/>
    </row>
    <row r="256" spans="1:9" ht="16.5" x14ac:dyDescent="0.25">
      <c r="A256" s="424" t="str">
        <f>Лист1!B26</f>
        <v>Торцевик Line Plast L048 Ироко правый 58мм (50)</v>
      </c>
      <c r="B256" s="84" t="s">
        <v>82</v>
      </c>
      <c r="C256" s="302"/>
      <c r="D256" s="426">
        <f>Лист1!C26*$A$227</f>
        <v>1.5720000000000001</v>
      </c>
      <c r="E256" s="426">
        <f>Лист1!D26</f>
        <v>15</v>
      </c>
      <c r="F256" s="305">
        <f t="shared" si="11"/>
        <v>23.580000000000002</v>
      </c>
      <c r="G256" s="168"/>
      <c r="H256" s="7"/>
      <c r="I256" s="7"/>
    </row>
    <row r="257" spans="1:9" ht="33" x14ac:dyDescent="0.25">
      <c r="A257" s="424" t="str">
        <f>Лист1!B27</f>
        <v>Карниз для штор гибкий ArtFlex белый 5,0м (11 хомутов, 50 крючков)</v>
      </c>
      <c r="B257" s="84" t="s">
        <v>82</v>
      </c>
      <c r="C257" s="302"/>
      <c r="D257" s="426">
        <f>Лист1!C27*$A$227</f>
        <v>0.26200000000000001</v>
      </c>
      <c r="E257" s="426">
        <f>Лист1!D27</f>
        <v>1871</v>
      </c>
      <c r="F257" s="305">
        <f t="shared" si="11"/>
        <v>490.202</v>
      </c>
      <c r="G257" s="168"/>
      <c r="H257" s="7"/>
      <c r="I257" s="7"/>
    </row>
    <row r="258" spans="1:9" ht="16.5" x14ac:dyDescent="0.25">
      <c r="A258" s="424" t="str">
        <f>Лист1!B28</f>
        <v>Выключатель Lezard Mira 1СП белый 701-0202-100 /10/120/</v>
      </c>
      <c r="B258" s="84" t="s">
        <v>82</v>
      </c>
      <c r="C258" s="302"/>
      <c r="D258" s="426">
        <f>Лист1!C28*$A$227</f>
        <v>0.52400000000000002</v>
      </c>
      <c r="E258" s="426">
        <f>Лист1!D28</f>
        <v>195</v>
      </c>
      <c r="F258" s="305">
        <f t="shared" si="11"/>
        <v>102.18</v>
      </c>
      <c r="G258" s="168"/>
      <c r="H258" s="7"/>
      <c r="I258" s="7"/>
    </row>
    <row r="259" spans="1:9" ht="16.5" x14ac:dyDescent="0.25">
      <c r="A259" s="424" t="str">
        <f>Лист1!B29</f>
        <v xml:space="preserve">Клей Henkel Момент Столяр ПВА универсальный, 250гр </v>
      </c>
      <c r="B259" s="84" t="s">
        <v>82</v>
      </c>
      <c r="C259" s="302"/>
      <c r="D259" s="426">
        <f>Лист1!C29*$A$227</f>
        <v>0.26200000000000001</v>
      </c>
      <c r="E259" s="426">
        <f>Лист1!D29</f>
        <v>169</v>
      </c>
      <c r="F259" s="305">
        <f t="shared" si="11"/>
        <v>44.277999999999999</v>
      </c>
      <c r="G259" s="168"/>
      <c r="H259" s="7"/>
      <c r="I259" s="7"/>
    </row>
    <row r="260" spans="1:9" ht="16.5" x14ac:dyDescent="0.25">
      <c r="A260" s="424" t="str">
        <f>Лист1!B30</f>
        <v>Порожек стык 1,8 мербау 37мм ПС03.1800.093</v>
      </c>
      <c r="B260" s="84" t="s">
        <v>82</v>
      </c>
      <c r="C260" s="302"/>
      <c r="D260" s="426">
        <f>Лист1!C30*$A$227</f>
        <v>0.52400000000000002</v>
      </c>
      <c r="E260" s="426">
        <f>Лист1!D30</f>
        <v>300</v>
      </c>
      <c r="F260" s="305">
        <f t="shared" si="11"/>
        <v>157.20000000000002</v>
      </c>
      <c r="G260" s="168"/>
      <c r="H260" s="7"/>
      <c r="I260" s="7"/>
    </row>
    <row r="261" spans="1:9" ht="16.5" x14ac:dyDescent="0.25">
      <c r="A261" s="424" t="str">
        <f>Лист1!B31</f>
        <v>Брусок 50*50мм (3м)</v>
      </c>
      <c r="B261" s="84" t="s">
        <v>82</v>
      </c>
      <c r="C261" s="302"/>
      <c r="D261" s="426">
        <f>Лист1!C31*$A$227</f>
        <v>5.24</v>
      </c>
      <c r="E261" s="426">
        <f>Лист1!D31</f>
        <v>290</v>
      </c>
      <c r="F261" s="305">
        <f t="shared" si="11"/>
        <v>1519.6000000000001</v>
      </c>
      <c r="G261" s="168"/>
      <c r="H261" s="7"/>
      <c r="I261" s="7"/>
    </row>
    <row r="262" spans="1:9" ht="16.5" x14ac:dyDescent="0.25">
      <c r="A262" s="424" t="str">
        <f>Лист1!B32</f>
        <v>Фанера березовая 6мм 1525*1525мм ФК сорт 4/4 нш</v>
      </c>
      <c r="B262" s="84" t="s">
        <v>82</v>
      </c>
      <c r="C262" s="302"/>
      <c r="D262" s="426">
        <f>Лист1!C32*$A$227</f>
        <v>1.5720000000000001</v>
      </c>
      <c r="E262" s="426">
        <f>Лист1!D32</f>
        <v>775</v>
      </c>
      <c r="F262" s="305">
        <f t="shared" si="11"/>
        <v>1218.3</v>
      </c>
      <c r="G262" s="168"/>
      <c r="H262" s="7"/>
      <c r="I262" s="7"/>
    </row>
    <row r="263" spans="1:9" ht="16.5" x14ac:dyDescent="0.25">
      <c r="A263" s="424" t="str">
        <f>Лист1!B33</f>
        <v>Фанера березовая 8мм 1525*1525мм ФК сорт 4/4 нш</v>
      </c>
      <c r="B263" s="84" t="s">
        <v>82</v>
      </c>
      <c r="C263" s="302"/>
      <c r="D263" s="426">
        <f>Лист1!C33*$A$227</f>
        <v>0.52400000000000002</v>
      </c>
      <c r="E263" s="426">
        <f>Лист1!D33</f>
        <v>970</v>
      </c>
      <c r="F263" s="305">
        <f t="shared" si="11"/>
        <v>508.28000000000003</v>
      </c>
      <c r="G263" s="168"/>
      <c r="H263" s="7"/>
      <c r="I263" s="7"/>
    </row>
    <row r="264" spans="1:9" ht="33" x14ac:dyDescent="0.25">
      <c r="A264" s="424" t="str">
        <f>Лист1!B34</f>
        <v>Эмаль акр.для радиаторов отопления 1кг полуглянцевая (6) OLECOLOR</v>
      </c>
      <c r="B264" s="84" t="s">
        <v>82</v>
      </c>
      <c r="C264" s="302"/>
      <c r="D264" s="426">
        <f>Лист1!C34*$A$227</f>
        <v>0.52400000000000002</v>
      </c>
      <c r="E264" s="426">
        <f>Лист1!D34</f>
        <v>420</v>
      </c>
      <c r="F264" s="305">
        <f t="shared" si="11"/>
        <v>220.08</v>
      </c>
      <c r="G264" s="168"/>
      <c r="H264" s="7"/>
      <c r="I264" s="7"/>
    </row>
    <row r="265" spans="1:9" ht="33" x14ac:dyDescent="0.25">
      <c r="A265" s="424" t="str">
        <f>Лист1!B35</f>
        <v>Лопата снеговая деревянная, 50*50см, с усиленной планкой, "Баба Яга"/1/</v>
      </c>
      <c r="B265" s="84" t="s">
        <v>82</v>
      </c>
      <c r="C265" s="302"/>
      <c r="D265" s="426">
        <f>Лист1!C35*$A$227</f>
        <v>0.26200000000000001</v>
      </c>
      <c r="E265" s="426">
        <f>Лист1!D35</f>
        <v>400</v>
      </c>
      <c r="F265" s="305">
        <f t="shared" si="11"/>
        <v>104.80000000000001</v>
      </c>
      <c r="G265" s="168"/>
      <c r="H265" s="7"/>
      <c r="I265" s="7"/>
    </row>
    <row r="266" spans="1:9" ht="33" x14ac:dyDescent="0.25">
      <c r="A266" s="424" t="str">
        <f>Лист1!B36</f>
        <v>Лопата пласт 380*380мм, с алюминевой планкой, с алюмин.черенком и Д-образной ручкой (5) ЛА-06</v>
      </c>
      <c r="B266" s="84" t="s">
        <v>82</v>
      </c>
      <c r="C266" s="302"/>
      <c r="D266" s="426">
        <f>Лист1!C36*$A$227</f>
        <v>0.26200000000000001</v>
      </c>
      <c r="E266" s="426">
        <f>Лист1!D36</f>
        <v>465</v>
      </c>
      <c r="F266" s="305">
        <f t="shared" si="11"/>
        <v>121.83</v>
      </c>
      <c r="G266" s="168"/>
      <c r="H266" s="7"/>
      <c r="I266" s="7"/>
    </row>
    <row r="267" spans="1:9" ht="33" x14ac:dyDescent="0.25">
      <c r="A267" s="424" t="str">
        <f>Лист1!B37</f>
        <v>Коробка распаячная КМР-030-031 с крышкой 8*80*50мм IP 54 EKF, серая /100/</v>
      </c>
      <c r="B267" s="84" t="s">
        <v>82</v>
      </c>
      <c r="C267" s="302"/>
      <c r="D267" s="426">
        <f>Лист1!C37*$A$227</f>
        <v>0.52400000000000002</v>
      </c>
      <c r="E267" s="426">
        <f>Лист1!D37</f>
        <v>42</v>
      </c>
      <c r="F267" s="305">
        <f t="shared" si="11"/>
        <v>22.008000000000003</v>
      </c>
      <c r="G267" s="168"/>
      <c r="H267" s="7"/>
      <c r="I267" s="7"/>
    </row>
    <row r="268" spans="1:9" ht="16.5" x14ac:dyDescent="0.25">
      <c r="A268" s="424" t="str">
        <f>Лист1!B38</f>
        <v>Розетка "Пралеска"   2РА16-303 брызгозащищенная з/к /30/</v>
      </c>
      <c r="B268" s="84" t="s">
        <v>82</v>
      </c>
      <c r="C268" s="302"/>
      <c r="D268" s="426">
        <f>Лист1!C38*$A$227</f>
        <v>0.26200000000000001</v>
      </c>
      <c r="E268" s="426">
        <f>Лист1!D38</f>
        <v>220</v>
      </c>
      <c r="F268" s="305">
        <f t="shared" si="11"/>
        <v>57.64</v>
      </c>
      <c r="G268" s="168"/>
      <c r="H268" s="7"/>
      <c r="I268" s="7"/>
    </row>
    <row r="269" spans="1:9" ht="16.5" x14ac:dyDescent="0.25">
      <c r="A269" s="424" t="str">
        <f>Лист1!B39</f>
        <v>Провод ВВГ 3*2,5</v>
      </c>
      <c r="B269" s="84" t="s">
        <v>82</v>
      </c>
      <c r="C269" s="302"/>
      <c r="D269" s="426">
        <f>Лист1!C39*$A$227</f>
        <v>2.62</v>
      </c>
      <c r="E269" s="426">
        <f>Лист1!D39</f>
        <v>96</v>
      </c>
      <c r="F269" s="305">
        <f t="shared" si="11"/>
        <v>251.52</v>
      </c>
      <c r="G269" s="168"/>
      <c r="H269" s="7"/>
      <c r="I269" s="7"/>
    </row>
    <row r="270" spans="1:9" ht="16.5" x14ac:dyDescent="0.25">
      <c r="A270" s="424" t="str">
        <f>Лист1!B40</f>
        <v>Щиток защитный TUNDRA корпус пластик 4588909</v>
      </c>
      <c r="B270" s="84" t="s">
        <v>82</v>
      </c>
      <c r="C270" s="302"/>
      <c r="D270" s="426">
        <f>Лист1!C40*$A$227</f>
        <v>0.52400000000000002</v>
      </c>
      <c r="E270" s="426">
        <f>Лист1!D40</f>
        <v>217</v>
      </c>
      <c r="F270" s="305">
        <f t="shared" si="11"/>
        <v>113.708</v>
      </c>
      <c r="G270" s="168"/>
      <c r="H270" s="7"/>
      <c r="I270" s="7"/>
    </row>
    <row r="271" spans="1:9" ht="16.5" x14ac:dyDescent="0.25">
      <c r="A271" s="424" t="str">
        <f>Лист1!B41</f>
        <v>Щиток защитный СИБИН с экраном из поликарбоната</v>
      </c>
      <c r="B271" s="84" t="s">
        <v>82</v>
      </c>
      <c r="C271" s="302"/>
      <c r="D271" s="426">
        <f>Лист1!C41*$A$227</f>
        <v>0.26200000000000001</v>
      </c>
      <c r="E271" s="426">
        <f>Лист1!D41</f>
        <v>235</v>
      </c>
      <c r="F271" s="305">
        <f t="shared" si="11"/>
        <v>61.57</v>
      </c>
      <c r="G271" s="168"/>
      <c r="H271" s="7"/>
      <c r="I271" s="7"/>
    </row>
    <row r="272" spans="1:9" ht="16.5" x14ac:dyDescent="0.25">
      <c r="A272" s="424" t="str">
        <f>Лист1!B42</f>
        <v>Замок навесной  Чебоксары ВС-2 М1-02 /20/</v>
      </c>
      <c r="B272" s="84" t="s">
        <v>82</v>
      </c>
      <c r="C272" s="302"/>
      <c r="D272" s="426">
        <f>Лист1!C42*$A$227</f>
        <v>0.26200000000000001</v>
      </c>
      <c r="E272" s="426">
        <f>Лист1!D42</f>
        <v>535</v>
      </c>
      <c r="F272" s="305">
        <f t="shared" si="11"/>
        <v>140.17000000000002</v>
      </c>
      <c r="G272" s="168"/>
      <c r="H272" s="7"/>
      <c r="I272" s="7"/>
    </row>
    <row r="273" spans="1:12" ht="16.5" x14ac:dyDescent="0.25">
      <c r="A273" s="424" t="str">
        <f>Лист1!B43</f>
        <v>Фанера 10 мм (1525х1525) водостойкая , сорт 4/4 , н/ш (2,325 м2)</v>
      </c>
      <c r="B273" s="84" t="s">
        <v>82</v>
      </c>
      <c r="C273" s="302"/>
      <c r="D273" s="426">
        <f>Лист1!C43*$A$227</f>
        <v>0.52400000000000002</v>
      </c>
      <c r="E273" s="426">
        <f>Лист1!D43</f>
        <v>1475</v>
      </c>
      <c r="F273" s="305">
        <f t="shared" si="11"/>
        <v>772.9</v>
      </c>
      <c r="G273" s="168"/>
      <c r="H273" s="7"/>
      <c r="I273" s="7"/>
    </row>
    <row r="274" spans="1:12" ht="16.5" x14ac:dyDescent="0.25">
      <c r="A274" s="424" t="str">
        <f>Лист1!B44</f>
        <v>Гайка шестигранная цинк DIN 934 М10 (300шт.)</v>
      </c>
      <c r="B274" s="84" t="s">
        <v>82</v>
      </c>
      <c r="C274" s="302"/>
      <c r="D274" s="426">
        <f>Лист1!C44*$A$227</f>
        <v>2.0960000000000001</v>
      </c>
      <c r="E274" s="426">
        <f>Лист1!D44</f>
        <v>4</v>
      </c>
      <c r="F274" s="305">
        <f t="shared" si="11"/>
        <v>8.3840000000000003</v>
      </c>
      <c r="G274" s="168"/>
      <c r="H274" s="7"/>
      <c r="I274" s="7"/>
    </row>
    <row r="275" spans="1:12" ht="16.5" x14ac:dyDescent="0.25">
      <c r="A275" s="424" t="str">
        <f>Лист1!B45</f>
        <v>Шайба плоская узкая цинк DIN 125 М12 (500шт.)</v>
      </c>
      <c r="B275" s="84" t="s">
        <v>82</v>
      </c>
      <c r="C275" s="302"/>
      <c r="D275" s="426">
        <f>Лист1!C45*$A$227</f>
        <v>2.0960000000000001</v>
      </c>
      <c r="E275" s="426">
        <f>Лист1!D45</f>
        <v>3</v>
      </c>
      <c r="F275" s="305">
        <f t="shared" si="11"/>
        <v>6.2880000000000003</v>
      </c>
      <c r="G275" s="168"/>
      <c r="H275" s="7"/>
      <c r="I275" s="7"/>
    </row>
    <row r="276" spans="1:12" ht="16.5" x14ac:dyDescent="0.25">
      <c r="A276" s="424" t="str">
        <f>Лист1!B46</f>
        <v>Шайба пружинная гроверная цинк DIN 127 М12 (500шт.)</v>
      </c>
      <c r="B276" s="84" t="s">
        <v>82</v>
      </c>
      <c r="C276" s="302"/>
      <c r="D276" s="426">
        <f>Лист1!C46*$A$227</f>
        <v>2.0960000000000001</v>
      </c>
      <c r="E276" s="426">
        <f>Лист1!D46</f>
        <v>1.5</v>
      </c>
      <c r="F276" s="305">
        <f t="shared" si="11"/>
        <v>3.1440000000000001</v>
      </c>
      <c r="G276" s="168"/>
      <c r="H276" s="7"/>
      <c r="I276" s="7"/>
    </row>
    <row r="277" spans="1:12" ht="33" x14ac:dyDescent="0.25">
      <c r="A277" s="424" t="str">
        <f>Лист1!B47</f>
        <v>Дюбель усиленный 5х40 + саморез головка потай желтый цинк 3,5х45 (20шт)</v>
      </c>
      <c r="B277" s="84" t="s">
        <v>82</v>
      </c>
      <c r="C277" s="302"/>
      <c r="D277" s="426">
        <f>Лист1!C47*$A$227</f>
        <v>0.26200000000000001</v>
      </c>
      <c r="E277" s="426">
        <f>Лист1!D47</f>
        <v>50</v>
      </c>
      <c r="F277" s="305">
        <f t="shared" si="11"/>
        <v>13.100000000000001</v>
      </c>
      <c r="G277" s="168"/>
      <c r="H277" s="7"/>
      <c r="I277" s="7"/>
    </row>
    <row r="278" spans="1:12" ht="33" x14ac:dyDescent="0.25">
      <c r="A278" s="424" t="str">
        <f>Лист1!B48</f>
        <v>Дюбель усиленный 6х25 + саморез головка потай желтый цинк 4,0х30 (20шт)</v>
      </c>
      <c r="B278" s="84" t="s">
        <v>82</v>
      </c>
      <c r="C278" s="302"/>
      <c r="D278" s="426">
        <f>Лист1!C48*$A$227</f>
        <v>0.26200000000000001</v>
      </c>
      <c r="E278" s="426">
        <f>Лист1!D48</f>
        <v>50</v>
      </c>
      <c r="F278" s="305">
        <f t="shared" si="11"/>
        <v>13.100000000000001</v>
      </c>
      <c r="G278" s="168"/>
      <c r="H278" s="7"/>
      <c r="I278" s="7"/>
    </row>
    <row r="279" spans="1:12" ht="33" x14ac:dyDescent="0.25">
      <c r="A279" s="424" t="str">
        <f>Лист1!B49</f>
        <v>Дюбель усиленный 5х30 + саморез головка потай желтый цинк 3,0х35 (24шт)</v>
      </c>
      <c r="B279" s="84" t="s">
        <v>82</v>
      </c>
      <c r="C279" s="302"/>
      <c r="D279" s="426">
        <f>Лист1!C49*$A$227</f>
        <v>0.26200000000000001</v>
      </c>
      <c r="E279" s="426">
        <f>Лист1!D49</f>
        <v>50</v>
      </c>
      <c r="F279" s="305">
        <f t="shared" si="11"/>
        <v>13.100000000000001</v>
      </c>
      <c r="G279" s="168"/>
      <c r="H279" s="7"/>
      <c r="I279" s="7"/>
    </row>
    <row r="280" spans="1:12" ht="16.5" x14ac:dyDescent="0.25">
      <c r="A280" s="424" t="str">
        <f>Лист1!B50</f>
        <v>Кабель-канал ПВХ 12*12 (100) SQ0408-0501</v>
      </c>
      <c r="B280" s="84" t="s">
        <v>82</v>
      </c>
      <c r="C280" s="302"/>
      <c r="D280" s="426">
        <f>Лист1!C50*$A$227</f>
        <v>0.26200000000000001</v>
      </c>
      <c r="E280" s="426">
        <f>Лист1!D50</f>
        <v>54</v>
      </c>
      <c r="F280" s="305">
        <f t="shared" si="11"/>
        <v>14.148</v>
      </c>
      <c r="G280" s="168"/>
      <c r="H280" s="7"/>
      <c r="I280" s="7"/>
    </row>
    <row r="281" spans="1:12" ht="16.5" x14ac:dyDescent="0.25">
      <c r="A281" s="424" t="str">
        <f>Лист1!B51</f>
        <v>Кабель-канал ПВХ 20*10 (80) SQ0408-0503</v>
      </c>
      <c r="B281" s="84" t="s">
        <v>82</v>
      </c>
      <c r="C281" s="302"/>
      <c r="D281" s="426">
        <f>Лист1!C51*$A$227</f>
        <v>0.26200000000000001</v>
      </c>
      <c r="E281" s="426">
        <f>Лист1!D51</f>
        <v>46</v>
      </c>
      <c r="F281" s="305">
        <f t="shared" si="11"/>
        <v>12.052</v>
      </c>
      <c r="G281" s="168"/>
      <c r="H281" s="7"/>
      <c r="I281" s="7"/>
    </row>
    <row r="282" spans="1:12" ht="16.5" x14ac:dyDescent="0.25">
      <c r="A282" s="424" t="str">
        <f>Лист1!B52</f>
        <v>Хомут  червячный "MGF" 16-27мм /50/</v>
      </c>
      <c r="B282" s="84" t="s">
        <v>82</v>
      </c>
      <c r="C282" s="302"/>
      <c r="D282" s="426">
        <f>Лист1!C52*$A$227</f>
        <v>0.52400000000000002</v>
      </c>
      <c r="E282" s="426">
        <f>Лист1!D52</f>
        <v>18</v>
      </c>
      <c r="F282" s="305">
        <f t="shared" si="11"/>
        <v>9.4320000000000004</v>
      </c>
      <c r="G282" s="168"/>
      <c r="H282" s="7"/>
      <c r="I282" s="7"/>
    </row>
    <row r="283" spans="1:12" ht="16.5" x14ac:dyDescent="0.25">
      <c r="A283" s="424" t="str">
        <f>Лист1!B53</f>
        <v>Переходник (штуцер) LEXLINE на р/шл 1/2 нар-20, латунь /10/</v>
      </c>
      <c r="B283" s="84" t="s">
        <v>82</v>
      </c>
      <c r="C283" s="84">
        <v>1</v>
      </c>
      <c r="D283" s="426">
        <f>Лист1!C53*$A$227</f>
        <v>0.26200000000000001</v>
      </c>
      <c r="E283" s="426">
        <f>Лист1!D53</f>
        <v>80</v>
      </c>
      <c r="F283" s="305">
        <f t="shared" si="11"/>
        <v>20.96</v>
      </c>
      <c r="G283" s="168"/>
      <c r="H283" s="7"/>
      <c r="I283" s="7"/>
      <c r="J283" s="141"/>
      <c r="K283" s="113"/>
      <c r="L283" s="142"/>
    </row>
    <row r="284" spans="1:12" ht="16.5" x14ac:dyDescent="0.25">
      <c r="A284" s="424" t="str">
        <f>Лист1!B54</f>
        <v>Флянец хвостовика</v>
      </c>
      <c r="B284" s="84" t="s">
        <v>82</v>
      </c>
      <c r="C284" s="84">
        <v>4</v>
      </c>
      <c r="D284" s="426">
        <f>Лист1!C54*$A$227</f>
        <v>0.52400000000000002</v>
      </c>
      <c r="E284" s="426">
        <f>Лист1!D54</f>
        <v>785</v>
      </c>
      <c r="F284" s="305">
        <f t="shared" si="11"/>
        <v>411.34000000000003</v>
      </c>
      <c r="G284" s="168"/>
      <c r="H284" s="7"/>
      <c r="I284" s="7"/>
      <c r="J284" s="141"/>
      <c r="K284" s="113"/>
      <c r="L284" s="142"/>
    </row>
    <row r="285" spans="1:12" ht="16.5" x14ac:dyDescent="0.25">
      <c r="A285" s="424" t="str">
        <f>Лист1!B55</f>
        <v>Датчик коленвала</v>
      </c>
      <c r="B285" s="84" t="s">
        <v>82</v>
      </c>
      <c r="C285" s="84">
        <v>4</v>
      </c>
      <c r="D285" s="426">
        <f>Лист1!C55*$A$227</f>
        <v>0.26200000000000001</v>
      </c>
      <c r="E285" s="426">
        <f>Лист1!D55</f>
        <v>650</v>
      </c>
      <c r="F285" s="305">
        <f t="shared" si="11"/>
        <v>170.3</v>
      </c>
      <c r="G285" s="168"/>
      <c r="H285" s="7"/>
      <c r="I285" s="7"/>
      <c r="J285" s="141"/>
      <c r="K285" s="113"/>
      <c r="L285" s="142"/>
    </row>
    <row r="286" spans="1:12" ht="16.5" x14ac:dyDescent="0.25">
      <c r="A286" s="424" t="str">
        <f>Лист1!B56</f>
        <v>пусковые провода</v>
      </c>
      <c r="B286" s="84" t="s">
        <v>82</v>
      </c>
      <c r="C286" s="84">
        <v>6</v>
      </c>
      <c r="D286" s="426">
        <f>Лист1!C56*$A$227</f>
        <v>0.26200000000000001</v>
      </c>
      <c r="E286" s="426">
        <f>Лист1!D56</f>
        <v>500</v>
      </c>
      <c r="F286" s="305">
        <f t="shared" si="11"/>
        <v>131</v>
      </c>
      <c r="G286" s="168"/>
      <c r="H286" s="7"/>
      <c r="I286" s="7"/>
      <c r="J286" s="141"/>
      <c r="K286" s="113"/>
      <c r="L286" s="142"/>
    </row>
    <row r="287" spans="1:12" ht="16.5" x14ac:dyDescent="0.25">
      <c r="A287" s="424" t="str">
        <f>Лист1!B57</f>
        <v>маска медицинская</v>
      </c>
      <c r="B287" s="84" t="s">
        <v>82</v>
      </c>
      <c r="C287" s="84">
        <v>5</v>
      </c>
      <c r="D287" s="426">
        <f>Лист1!C57*$A$227</f>
        <v>1572</v>
      </c>
      <c r="E287" s="426">
        <f>Лист1!D57</f>
        <v>2.8</v>
      </c>
      <c r="F287" s="305">
        <f t="shared" si="11"/>
        <v>4401.5999999999995</v>
      </c>
      <c r="G287" s="168"/>
      <c r="H287" s="7"/>
      <c r="I287" s="7"/>
      <c r="J287" s="141"/>
      <c r="K287" s="113"/>
      <c r="L287" s="142"/>
    </row>
    <row r="288" spans="1:12" ht="16.5" x14ac:dyDescent="0.25">
      <c r="A288" s="424" t="str">
        <f>Лист1!B58</f>
        <v>Бумага10*15 глянец 180 гр</v>
      </c>
      <c r="B288" s="84" t="s">
        <v>82</v>
      </c>
      <c r="C288" s="84">
        <v>1</v>
      </c>
      <c r="D288" s="426">
        <f>Лист1!C58*$A$227</f>
        <v>1.048</v>
      </c>
      <c r="E288" s="426">
        <f>Лист1!D58</f>
        <v>910</v>
      </c>
      <c r="F288" s="305">
        <f t="shared" si="11"/>
        <v>953.68000000000006</v>
      </c>
      <c r="G288" s="168"/>
      <c r="H288" s="7"/>
      <c r="I288" s="7"/>
      <c r="J288" s="141"/>
      <c r="K288" s="113"/>
      <c r="L288" s="142"/>
    </row>
    <row r="289" spans="1:12" ht="16.5" x14ac:dyDescent="0.25">
      <c r="A289" s="424" t="str">
        <f>Лист1!B59</f>
        <v>Бумага А4</v>
      </c>
      <c r="B289" s="84" t="s">
        <v>82</v>
      </c>
      <c r="C289" s="84">
        <v>2</v>
      </c>
      <c r="D289" s="426">
        <f>Лист1!C59*$A$227</f>
        <v>17.03</v>
      </c>
      <c r="E289" s="426">
        <f>Лист1!D59</f>
        <v>290</v>
      </c>
      <c r="F289" s="305">
        <f t="shared" si="11"/>
        <v>4938.7000000000007</v>
      </c>
      <c r="G289" s="168"/>
      <c r="H289" s="7"/>
      <c r="I289" s="7"/>
      <c r="J289" s="141"/>
      <c r="K289" s="113"/>
      <c r="L289" s="142"/>
    </row>
    <row r="290" spans="1:12" ht="16.5" x14ac:dyDescent="0.25">
      <c r="A290" s="424" t="str">
        <f>Лист1!B60</f>
        <v>планшет</v>
      </c>
      <c r="B290" s="84" t="s">
        <v>82</v>
      </c>
      <c r="C290" s="84">
        <v>2</v>
      </c>
      <c r="D290" s="426">
        <f>Лист1!C60*$A$227</f>
        <v>2.62</v>
      </c>
      <c r="E290" s="426">
        <f>Лист1!D60</f>
        <v>95</v>
      </c>
      <c r="F290" s="305">
        <f t="shared" si="11"/>
        <v>248.9</v>
      </c>
      <c r="G290" s="168"/>
      <c r="H290" s="7"/>
      <c r="I290" s="7"/>
      <c r="J290" s="141"/>
      <c r="K290" s="113"/>
      <c r="L290" s="142"/>
    </row>
    <row r="291" spans="1:12" ht="16.5" x14ac:dyDescent="0.25">
      <c r="A291" s="424" t="str">
        <f>Лист1!B61</f>
        <v>Бумага А4 цвет</v>
      </c>
      <c r="B291" s="84" t="s">
        <v>82</v>
      </c>
      <c r="C291" s="84">
        <v>3</v>
      </c>
      <c r="D291" s="426">
        <f>Лист1!C61*$A$227</f>
        <v>1.31</v>
      </c>
      <c r="E291" s="426">
        <f>Лист1!D61</f>
        <v>949</v>
      </c>
      <c r="F291" s="305">
        <f t="shared" si="11"/>
        <v>1243.19</v>
      </c>
      <c r="G291" s="168"/>
      <c r="H291" s="7"/>
      <c r="I291" s="7"/>
      <c r="J291" s="141"/>
      <c r="K291" s="113"/>
      <c r="L291" s="142"/>
    </row>
    <row r="292" spans="1:12" ht="16.5" x14ac:dyDescent="0.25">
      <c r="A292" s="424" t="str">
        <f>Лист1!B62</f>
        <v>Бумага 10*15 матовая</v>
      </c>
      <c r="B292" s="84" t="s">
        <v>82</v>
      </c>
      <c r="C292" s="84">
        <v>4</v>
      </c>
      <c r="D292" s="426">
        <f>Лист1!C62*$A$227</f>
        <v>1.048</v>
      </c>
      <c r="E292" s="426">
        <f>Лист1!D62</f>
        <v>790</v>
      </c>
      <c r="F292" s="305">
        <f t="shared" si="11"/>
        <v>827.92000000000007</v>
      </c>
      <c r="G292" s="168"/>
      <c r="H292" s="7"/>
      <c r="I292" s="7"/>
      <c r="J292" s="141"/>
      <c r="K292" s="113"/>
      <c r="L292" s="142"/>
    </row>
    <row r="293" spans="1:12" ht="13.9" customHeight="1" x14ac:dyDescent="0.25">
      <c r="A293" s="424" t="str">
        <f>Лист1!B63</f>
        <v>Бумага 10*15 глянец 230 гр</v>
      </c>
      <c r="B293" s="84" t="s">
        <v>82</v>
      </c>
      <c r="C293" s="84">
        <v>5</v>
      </c>
      <c r="D293" s="426">
        <f>Лист1!C63*$A$227</f>
        <v>1.048</v>
      </c>
      <c r="E293" s="426">
        <f>Лист1!D63</f>
        <v>1040</v>
      </c>
      <c r="F293" s="305">
        <f t="shared" si="11"/>
        <v>1089.92</v>
      </c>
      <c r="G293" s="168"/>
      <c r="H293" s="7"/>
      <c r="I293" s="7"/>
      <c r="J293" s="141"/>
      <c r="K293" s="113"/>
      <c r="L293" s="142"/>
    </row>
    <row r="294" spans="1:12" ht="19.899999999999999" customHeight="1" x14ac:dyDescent="0.25">
      <c r="A294" s="424" t="str">
        <f>Лист1!B64</f>
        <v>Бумага А4 глянец 230 гр</v>
      </c>
      <c r="B294" s="84" t="s">
        <v>82</v>
      </c>
      <c r="C294" s="84">
        <v>6</v>
      </c>
      <c r="D294" s="426">
        <f>Лист1!C64*$A$227</f>
        <v>2.62</v>
      </c>
      <c r="E294" s="426">
        <f>Лист1!D64</f>
        <v>790</v>
      </c>
      <c r="F294" s="305">
        <f t="shared" si="11"/>
        <v>2069.8000000000002</v>
      </c>
      <c r="G294" s="168"/>
      <c r="H294" s="7"/>
      <c r="I294" s="7"/>
      <c r="J294" s="141"/>
      <c r="K294" s="113"/>
      <c r="L294" s="142"/>
    </row>
    <row r="295" spans="1:12" ht="16.899999999999999" customHeight="1" x14ac:dyDescent="0.25">
      <c r="A295" s="424" t="str">
        <f>Лист1!B65</f>
        <v>Бумага А4 матовая 160 гр</v>
      </c>
      <c r="B295" s="84" t="s">
        <v>82</v>
      </c>
      <c r="C295" s="84">
        <v>7</v>
      </c>
      <c r="D295" s="426">
        <f>Лист1!C65*$A$227</f>
        <v>2.62</v>
      </c>
      <c r="E295" s="426">
        <f>Лист1!D65</f>
        <v>680</v>
      </c>
      <c r="F295" s="305">
        <f t="shared" si="11"/>
        <v>1781.6000000000001</v>
      </c>
      <c r="G295" s="168"/>
      <c r="H295" s="7"/>
      <c r="I295" s="7"/>
      <c r="J295" s="141"/>
      <c r="K295" s="113"/>
      <c r="L295" s="142"/>
    </row>
    <row r="296" spans="1:12" ht="16.5" x14ac:dyDescent="0.25">
      <c r="A296" s="424" t="str">
        <f>Лист1!B66</f>
        <v>Бумага А4 матовая 230 гр</v>
      </c>
      <c r="B296" s="84" t="s">
        <v>82</v>
      </c>
      <c r="C296" s="84">
        <v>8</v>
      </c>
      <c r="D296" s="426">
        <f>Лист1!C66*$A$227</f>
        <v>2.62</v>
      </c>
      <c r="E296" s="426">
        <f>Лист1!D66</f>
        <v>490</v>
      </c>
      <c r="F296" s="305">
        <f t="shared" si="11"/>
        <v>1283.8</v>
      </c>
      <c r="G296" s="168"/>
      <c r="H296" s="7"/>
      <c r="I296" s="7"/>
      <c r="J296" s="141"/>
      <c r="K296" s="113"/>
      <c r="L296" s="142"/>
    </row>
    <row r="297" spans="1:12" ht="16.5" x14ac:dyDescent="0.25">
      <c r="A297" s="424" t="str">
        <f>Лист1!B67</f>
        <v>Бумага А4 глянец 240 гр</v>
      </c>
      <c r="B297" s="84" t="s">
        <v>82</v>
      </c>
      <c r="C297" s="84">
        <v>9</v>
      </c>
      <c r="D297" s="426">
        <f>Лист1!C67*$A$227</f>
        <v>2.62</v>
      </c>
      <c r="E297" s="426">
        <f>Лист1!D67</f>
        <v>745</v>
      </c>
      <c r="F297" s="305">
        <f t="shared" si="11"/>
        <v>1951.9</v>
      </c>
      <c r="G297" s="168"/>
      <c r="H297" s="7"/>
      <c r="I297" s="7"/>
      <c r="J297" s="141"/>
      <c r="K297" s="113"/>
      <c r="L297" s="142"/>
    </row>
    <row r="298" spans="1:12" ht="16.5" x14ac:dyDescent="0.25">
      <c r="A298" s="424" t="str">
        <f>Лист1!B68</f>
        <v>скотч 72*56</v>
      </c>
      <c r="B298" s="84" t="s">
        <v>82</v>
      </c>
      <c r="C298" s="84">
        <v>10</v>
      </c>
      <c r="D298" s="426">
        <f>Лист1!C68*$A$227</f>
        <v>5.24</v>
      </c>
      <c r="E298" s="426">
        <f>Лист1!D68</f>
        <v>100</v>
      </c>
      <c r="F298" s="305">
        <f t="shared" si="11"/>
        <v>524</v>
      </c>
      <c r="G298" s="168"/>
      <c r="H298" s="7"/>
      <c r="I298" s="7"/>
      <c r="J298" s="141"/>
      <c r="K298" s="113"/>
      <c r="L298" s="142"/>
    </row>
    <row r="299" spans="1:12" ht="16.5" x14ac:dyDescent="0.25">
      <c r="A299" s="424" t="str">
        <f>Лист1!B69</f>
        <v>скотч 48*100</v>
      </c>
      <c r="B299" s="84" t="s">
        <v>82</v>
      </c>
      <c r="C299" s="84">
        <v>11</v>
      </c>
      <c r="D299" s="426">
        <f>Лист1!C69*$A$227</f>
        <v>5.24</v>
      </c>
      <c r="E299" s="426">
        <f>Лист1!D69</f>
        <v>90</v>
      </c>
      <c r="F299" s="305">
        <f t="shared" si="11"/>
        <v>471.6</v>
      </c>
      <c r="G299" s="168"/>
      <c r="H299" s="7"/>
      <c r="I299" s="7"/>
      <c r="J299" s="141"/>
      <c r="K299" s="113"/>
      <c r="L299" s="142"/>
    </row>
    <row r="300" spans="1:12" ht="16.5" x14ac:dyDescent="0.25">
      <c r="A300" s="424" t="str">
        <f>Лист1!B70</f>
        <v>блок самоклей</v>
      </c>
      <c r="B300" s="84" t="s">
        <v>82</v>
      </c>
      <c r="C300" s="84">
        <v>12</v>
      </c>
      <c r="D300" s="426">
        <f>Лист1!C70*$A$227</f>
        <v>1.31</v>
      </c>
      <c r="E300" s="426">
        <f>Лист1!D70</f>
        <v>290</v>
      </c>
      <c r="F300" s="305">
        <f t="shared" si="11"/>
        <v>379.90000000000003</v>
      </c>
      <c r="G300" s="168"/>
      <c r="H300" s="7"/>
      <c r="I300" s="7"/>
      <c r="J300" s="141"/>
      <c r="K300" s="113"/>
      <c r="L300" s="142"/>
    </row>
    <row r="301" spans="1:12" ht="16.5" x14ac:dyDescent="0.25">
      <c r="A301" s="424" t="str">
        <f>Лист1!B71</f>
        <v>папка-регистратор</v>
      </c>
      <c r="B301" s="84" t="s">
        <v>82</v>
      </c>
      <c r="C301" s="84">
        <v>13</v>
      </c>
      <c r="D301" s="426">
        <f>Лист1!C71*$A$227</f>
        <v>10.48</v>
      </c>
      <c r="E301" s="426">
        <f>Лист1!D71</f>
        <v>200</v>
      </c>
      <c r="F301" s="305">
        <f t="shared" si="11"/>
        <v>2096</v>
      </c>
      <c r="G301" s="168"/>
      <c r="H301" s="7"/>
      <c r="I301" s="7"/>
      <c r="J301" s="141"/>
      <c r="K301" s="113"/>
      <c r="L301" s="142"/>
    </row>
    <row r="302" spans="1:12" ht="16.5" x14ac:dyDescent="0.25">
      <c r="A302" s="424" t="str">
        <f>Лист1!B72</f>
        <v>картон белый</v>
      </c>
      <c r="B302" s="84" t="s">
        <v>82</v>
      </c>
      <c r="C302" s="84">
        <v>14</v>
      </c>
      <c r="D302" s="426">
        <f>Лист1!C72*$A$227</f>
        <v>2.62</v>
      </c>
      <c r="E302" s="426">
        <f>Лист1!D72</f>
        <v>350</v>
      </c>
      <c r="F302" s="305">
        <f t="shared" si="11"/>
        <v>917</v>
      </c>
      <c r="G302" s="168"/>
      <c r="H302" s="7"/>
      <c r="I302" s="7"/>
      <c r="J302" s="141"/>
      <c r="K302" s="113"/>
      <c r="L302" s="142"/>
    </row>
    <row r="303" spans="1:12" ht="16.5" x14ac:dyDescent="0.25">
      <c r="A303" s="424" t="str">
        <f>Лист1!B73</f>
        <v>пружина 51 мм</v>
      </c>
      <c r="B303" s="84" t="s">
        <v>82</v>
      </c>
      <c r="C303" s="84">
        <v>15</v>
      </c>
      <c r="D303" s="426">
        <f>Лист1!C73*$A$227</f>
        <v>5.24</v>
      </c>
      <c r="E303" s="426">
        <f>Лист1!D73</f>
        <v>50</v>
      </c>
      <c r="F303" s="305">
        <f t="shared" si="11"/>
        <v>262</v>
      </c>
      <c r="G303" s="168"/>
      <c r="H303" s="7"/>
      <c r="I303" s="7"/>
      <c r="J303" s="141"/>
      <c r="K303" s="113"/>
      <c r="L303" s="142"/>
    </row>
    <row r="304" spans="1:12" ht="16.5" x14ac:dyDescent="0.25">
      <c r="A304" s="424" t="str">
        <f>Лист1!B74</f>
        <v>скотч 15 мм</v>
      </c>
      <c r="B304" s="84" t="s">
        <v>82</v>
      </c>
      <c r="C304" s="84">
        <v>16</v>
      </c>
      <c r="D304" s="426">
        <f>Лист1!C74*$A$227</f>
        <v>13.100000000000001</v>
      </c>
      <c r="E304" s="426">
        <f>Лист1!D74</f>
        <v>15</v>
      </c>
      <c r="F304" s="305">
        <f t="shared" ref="F304:F367" si="14">D304*E304</f>
        <v>196.50000000000003</v>
      </c>
      <c r="G304" s="168"/>
      <c r="H304" s="7"/>
      <c r="I304" s="7"/>
      <c r="J304" s="141"/>
      <c r="K304" s="113"/>
      <c r="L304" s="142"/>
    </row>
    <row r="305" spans="1:12" ht="16.5" x14ac:dyDescent="0.25">
      <c r="A305" s="424" t="str">
        <f>Лист1!B75</f>
        <v>бейдж</v>
      </c>
      <c r="B305" s="84" t="s">
        <v>82</v>
      </c>
      <c r="C305" s="84">
        <v>17</v>
      </c>
      <c r="D305" s="426">
        <f>Лист1!C75*$A$227</f>
        <v>5.24</v>
      </c>
      <c r="E305" s="426">
        <f>Лист1!D75</f>
        <v>50</v>
      </c>
      <c r="F305" s="305">
        <f t="shared" si="14"/>
        <v>262</v>
      </c>
      <c r="G305" s="168"/>
      <c r="H305" s="7"/>
      <c r="I305" s="7"/>
      <c r="J305" s="141"/>
      <c r="K305" s="113"/>
      <c r="L305" s="142"/>
    </row>
    <row r="306" spans="1:12" ht="16.5" x14ac:dyDescent="0.25">
      <c r="A306" s="424" t="str">
        <f>Лист1!B76</f>
        <v>шнурок для бейджа</v>
      </c>
      <c r="B306" s="84" t="s">
        <v>82</v>
      </c>
      <c r="C306" s="84">
        <v>18</v>
      </c>
      <c r="D306" s="426">
        <f>Лист1!C76*$A$227</f>
        <v>5.24</v>
      </c>
      <c r="E306" s="426">
        <f>Лист1!D76</f>
        <v>20</v>
      </c>
      <c r="F306" s="305">
        <f t="shared" si="14"/>
        <v>104.80000000000001</v>
      </c>
      <c r="G306" s="168"/>
      <c r="H306" s="7"/>
      <c r="I306" s="7"/>
      <c r="J306" s="141"/>
      <c r="K306" s="113"/>
      <c r="L306" s="142"/>
    </row>
    <row r="307" spans="1:12" ht="16.5" x14ac:dyDescent="0.25">
      <c r="A307" s="424" t="str">
        <f>Лист1!B77</f>
        <v>блокнот для флипчарта</v>
      </c>
      <c r="B307" s="84" t="s">
        <v>82</v>
      </c>
      <c r="C307" s="84">
        <v>19</v>
      </c>
      <c r="D307" s="426">
        <f>Лист1!C77*$A$227</f>
        <v>1.31</v>
      </c>
      <c r="E307" s="426">
        <f>Лист1!D77</f>
        <v>320</v>
      </c>
      <c r="F307" s="305">
        <f t="shared" si="14"/>
        <v>419.20000000000005</v>
      </c>
      <c r="G307" s="168"/>
      <c r="H307" s="7"/>
      <c r="I307" s="7"/>
      <c r="J307" s="141"/>
      <c r="K307" s="113"/>
      <c r="L307" s="142"/>
    </row>
    <row r="308" spans="1:12" ht="16.5" x14ac:dyDescent="0.25">
      <c r="A308" s="424" t="str">
        <f>Лист1!B78</f>
        <v>бумага писчая</v>
      </c>
      <c r="B308" s="84" t="s">
        <v>82</v>
      </c>
      <c r="C308" s="84">
        <v>20</v>
      </c>
      <c r="D308" s="426">
        <f>Лист1!C78*$A$227</f>
        <v>2.62</v>
      </c>
      <c r="E308" s="426">
        <f>Лист1!D78</f>
        <v>285</v>
      </c>
      <c r="F308" s="305">
        <f t="shared" si="14"/>
        <v>746.7</v>
      </c>
      <c r="G308" s="168"/>
      <c r="H308" s="7"/>
      <c r="I308" s="7"/>
      <c r="J308" s="141"/>
      <c r="K308" s="113"/>
      <c r="L308" s="142"/>
    </row>
    <row r="309" spans="1:12" ht="16.5" x14ac:dyDescent="0.25">
      <c r="A309" s="424" t="str">
        <f>Лист1!B79</f>
        <v>фоторамка дерево</v>
      </c>
      <c r="B309" s="84" t="s">
        <v>82</v>
      </c>
      <c r="C309" s="84">
        <v>21</v>
      </c>
      <c r="D309" s="426">
        <f>Лист1!C79*$A$227</f>
        <v>26.200000000000003</v>
      </c>
      <c r="E309" s="426">
        <f>Лист1!D79</f>
        <v>135</v>
      </c>
      <c r="F309" s="305">
        <f t="shared" si="14"/>
        <v>3537.0000000000005</v>
      </c>
      <c r="G309" s="168"/>
      <c r="H309" s="7"/>
      <c r="I309" s="7"/>
      <c r="J309" s="141"/>
      <c r="K309" s="113"/>
      <c r="L309" s="142"/>
    </row>
    <row r="310" spans="1:12" ht="16.5" x14ac:dyDescent="0.25">
      <c r="A310" s="424" t="str">
        <f>Лист1!B80</f>
        <v>фоторамка пластик</v>
      </c>
      <c r="B310" s="84" t="s">
        <v>82</v>
      </c>
      <c r="C310" s="84">
        <v>22</v>
      </c>
      <c r="D310" s="426">
        <f>Лист1!C80*$A$227</f>
        <v>19.650000000000002</v>
      </c>
      <c r="E310" s="426">
        <f>Лист1!D80</f>
        <v>150</v>
      </c>
      <c r="F310" s="305">
        <f t="shared" si="14"/>
        <v>2947.5000000000005</v>
      </c>
      <c r="G310" s="168"/>
      <c r="H310" s="7"/>
      <c r="I310" s="7"/>
      <c r="J310" s="141"/>
      <c r="K310" s="113"/>
      <c r="L310" s="142"/>
    </row>
    <row r="311" spans="1:12" ht="16.5" x14ac:dyDescent="0.25">
      <c r="A311" s="424" t="str">
        <f>Лист1!B81</f>
        <v>фоторамка пластик</v>
      </c>
      <c r="B311" s="84" t="s">
        <v>82</v>
      </c>
      <c r="C311" s="84">
        <v>23</v>
      </c>
      <c r="D311" s="426">
        <f>Лист1!C81*$A$227</f>
        <v>19.650000000000002</v>
      </c>
      <c r="E311" s="426">
        <f>Лист1!D81</f>
        <v>165</v>
      </c>
      <c r="F311" s="305">
        <f t="shared" si="14"/>
        <v>3242.2500000000005</v>
      </c>
      <c r="G311" s="168"/>
      <c r="H311" s="7"/>
      <c r="I311" s="7"/>
      <c r="J311" s="141"/>
      <c r="K311" s="113"/>
      <c r="L311" s="142"/>
    </row>
    <row r="312" spans="1:12" ht="16.5" x14ac:dyDescent="0.25">
      <c r="A312" s="424" t="str">
        <f>Лист1!B82</f>
        <v>батарейка ААА 24 шт /уп</v>
      </c>
      <c r="B312" s="84" t="s">
        <v>82</v>
      </c>
      <c r="C312" s="84">
        <v>24</v>
      </c>
      <c r="D312" s="426">
        <f>Лист1!C82*$A$227</f>
        <v>0.78600000000000003</v>
      </c>
      <c r="E312" s="426">
        <f>Лист1!D82</f>
        <v>665</v>
      </c>
      <c r="F312" s="305">
        <f t="shared" si="14"/>
        <v>522.69000000000005</v>
      </c>
      <c r="G312" s="168"/>
      <c r="H312" s="7"/>
      <c r="I312" s="7"/>
      <c r="J312" s="141"/>
      <c r="K312" s="113"/>
      <c r="L312" s="142"/>
    </row>
    <row r="313" spans="1:12" ht="16.5" x14ac:dyDescent="0.25">
      <c r="A313" s="424" t="str">
        <f>Лист1!B83</f>
        <v>батарейка ААА 12 шт /уп</v>
      </c>
      <c r="B313" s="84" t="s">
        <v>82</v>
      </c>
      <c r="C313" s="84">
        <v>25</v>
      </c>
      <c r="D313" s="426">
        <f>Лист1!C83*$A$227</f>
        <v>0.52400000000000002</v>
      </c>
      <c r="E313" s="426">
        <f>Лист1!D83</f>
        <v>1025</v>
      </c>
      <c r="F313" s="305">
        <f t="shared" si="14"/>
        <v>537.1</v>
      </c>
      <c r="G313" s="168"/>
      <c r="H313" s="7"/>
      <c r="I313" s="7"/>
      <c r="J313" s="141"/>
      <c r="K313" s="113"/>
      <c r="L313" s="142"/>
    </row>
    <row r="314" spans="1:12" ht="16.5" x14ac:dyDescent="0.25">
      <c r="A314" s="424" t="str">
        <f>Лист1!B84</f>
        <v>батарейка АА 24 шт /уп</v>
      </c>
      <c r="B314" s="84" t="s">
        <v>82</v>
      </c>
      <c r="C314" s="84">
        <v>26</v>
      </c>
      <c r="D314" s="426">
        <f>Лист1!C84*$A$227</f>
        <v>0.52400000000000002</v>
      </c>
      <c r="E314" s="426">
        <f>Лист1!D84</f>
        <v>510</v>
      </c>
      <c r="F314" s="305">
        <f t="shared" si="14"/>
        <v>267.24</v>
      </c>
      <c r="G314" s="168"/>
      <c r="H314" s="7"/>
      <c r="I314" s="7"/>
      <c r="J314" s="141"/>
      <c r="K314" s="113"/>
      <c r="L314" s="142"/>
    </row>
    <row r="315" spans="1:12" ht="16.5" x14ac:dyDescent="0.25">
      <c r="A315" s="424" t="str">
        <f>Лист1!B85</f>
        <v>батарейка АА 18 шт /уп</v>
      </c>
      <c r="B315" s="84" t="s">
        <v>82</v>
      </c>
      <c r="C315" s="84">
        <v>27</v>
      </c>
      <c r="D315" s="426">
        <f>Лист1!C85*$A$227</f>
        <v>0.78600000000000003</v>
      </c>
      <c r="E315" s="426">
        <f>Лист1!D85</f>
        <v>950</v>
      </c>
      <c r="F315" s="305">
        <f t="shared" si="14"/>
        <v>746.7</v>
      </c>
      <c r="G315" s="168"/>
      <c r="H315" s="7"/>
      <c r="I315" s="7"/>
      <c r="J315" s="141"/>
      <c r="K315" s="113"/>
      <c r="L315" s="142"/>
    </row>
    <row r="316" spans="1:12" ht="16.5" x14ac:dyDescent="0.25">
      <c r="A316" s="424" t="str">
        <f>Лист1!B86</f>
        <v xml:space="preserve">вилка </v>
      </c>
      <c r="B316" s="84" t="s">
        <v>82</v>
      </c>
      <c r="C316" s="84">
        <v>28</v>
      </c>
      <c r="D316" s="426">
        <f>Лист1!C86*$A$227</f>
        <v>0.78600000000000003</v>
      </c>
      <c r="E316" s="426">
        <f>Лист1!D86</f>
        <v>90</v>
      </c>
      <c r="F316" s="305">
        <f t="shared" si="14"/>
        <v>70.740000000000009</v>
      </c>
      <c r="G316" s="168"/>
      <c r="H316" s="7"/>
      <c r="I316" s="7"/>
      <c r="J316" s="141"/>
      <c r="K316" s="113"/>
      <c r="L316" s="142"/>
    </row>
    <row r="317" spans="1:12" ht="16.5" x14ac:dyDescent="0.25">
      <c r="A317" s="424" t="str">
        <f>Лист1!B87</f>
        <v>четверник</v>
      </c>
      <c r="B317" s="84" t="s">
        <v>82</v>
      </c>
      <c r="C317" s="84">
        <v>29</v>
      </c>
      <c r="D317" s="426">
        <f>Лист1!C87*$A$227</f>
        <v>0.26200000000000001</v>
      </c>
      <c r="E317" s="426">
        <f>Лист1!D87</f>
        <v>220</v>
      </c>
      <c r="F317" s="305">
        <f t="shared" si="14"/>
        <v>57.64</v>
      </c>
      <c r="G317" s="168"/>
      <c r="H317" s="7"/>
      <c r="I317" s="7"/>
      <c r="J317" s="141"/>
      <c r="K317" s="113"/>
      <c r="L317" s="142"/>
    </row>
    <row r="318" spans="1:12" ht="16.5" x14ac:dyDescent="0.25">
      <c r="A318" s="424" t="str">
        <f>Лист1!B88</f>
        <v>четверник</v>
      </c>
      <c r="B318" s="84" t="s">
        <v>82</v>
      </c>
      <c r="C318" s="84">
        <v>30</v>
      </c>
      <c r="D318" s="426">
        <f>Лист1!C88*$A$227</f>
        <v>0.26200000000000001</v>
      </c>
      <c r="E318" s="426">
        <f>Лист1!D88</f>
        <v>164</v>
      </c>
      <c r="F318" s="305">
        <f t="shared" si="14"/>
        <v>42.968000000000004</v>
      </c>
      <c r="G318" s="168"/>
      <c r="H318" s="7"/>
      <c r="I318" s="7"/>
      <c r="J318" s="141"/>
      <c r="K318" s="113"/>
      <c r="L318" s="142"/>
    </row>
    <row r="319" spans="1:12" ht="16.5" x14ac:dyDescent="0.25">
      <c r="A319" s="424" t="str">
        <f>Лист1!B89</f>
        <v>пугнп</v>
      </c>
      <c r="B319" s="84" t="s">
        <v>82</v>
      </c>
      <c r="C319" s="84">
        <v>31</v>
      </c>
      <c r="D319" s="426">
        <f>Лист1!C89*$A$227</f>
        <v>8.3840000000000003</v>
      </c>
      <c r="E319" s="426">
        <f>Лист1!D89</f>
        <v>47</v>
      </c>
      <c r="F319" s="305">
        <f t="shared" si="14"/>
        <v>394.048</v>
      </c>
      <c r="G319" s="168"/>
      <c r="H319" s="7"/>
      <c r="I319" s="7"/>
      <c r="J319" s="141"/>
      <c r="K319" s="113"/>
      <c r="L319" s="142"/>
    </row>
    <row r="320" spans="1:12" ht="16.5" x14ac:dyDescent="0.25">
      <c r="A320" s="424" t="str">
        <f>Лист1!B90</f>
        <v>лампа накаливания</v>
      </c>
      <c r="B320" s="84" t="s">
        <v>82</v>
      </c>
      <c r="C320" s="84">
        <v>32</v>
      </c>
      <c r="D320" s="426">
        <f>Лист1!C90*$A$227</f>
        <v>1.8340000000000001</v>
      </c>
      <c r="E320" s="426">
        <f>Лист1!D90</f>
        <v>34</v>
      </c>
      <c r="F320" s="305">
        <f t="shared" si="14"/>
        <v>62.356000000000002</v>
      </c>
      <c r="G320" s="168"/>
      <c r="H320" s="7"/>
      <c r="I320" s="7"/>
      <c r="J320" s="141"/>
      <c r="K320" s="113"/>
      <c r="L320" s="142"/>
    </row>
    <row r="321" spans="1:12" ht="16.5" x14ac:dyDescent="0.25">
      <c r="A321" s="424" t="str">
        <f>Лист1!B91</f>
        <v>ключ трубный</v>
      </c>
      <c r="B321" s="84" t="s">
        <v>82</v>
      </c>
      <c r="C321" s="84">
        <v>33</v>
      </c>
      <c r="D321" s="426">
        <f>Лист1!C91*$A$227</f>
        <v>0.26200000000000001</v>
      </c>
      <c r="E321" s="426">
        <f>Лист1!D91</f>
        <v>847</v>
      </c>
      <c r="F321" s="305">
        <f t="shared" si="14"/>
        <v>221.91400000000002</v>
      </c>
      <c r="G321" s="168"/>
      <c r="H321" s="7"/>
      <c r="I321" s="7"/>
      <c r="J321" s="141"/>
      <c r="K321" s="113"/>
      <c r="L321" s="142"/>
    </row>
    <row r="322" spans="1:12" ht="16.5" x14ac:dyDescent="0.25">
      <c r="A322" s="424" t="str">
        <f>Лист1!B92</f>
        <v>лента фум</v>
      </c>
      <c r="B322" s="84" t="s">
        <v>82</v>
      </c>
      <c r="C322" s="84">
        <v>34</v>
      </c>
      <c r="D322" s="426">
        <f>Лист1!C92*$A$227</f>
        <v>0.26200000000000001</v>
      </c>
      <c r="E322" s="426">
        <f>Лист1!D92</f>
        <v>140</v>
      </c>
      <c r="F322" s="305">
        <f t="shared" si="14"/>
        <v>36.68</v>
      </c>
      <c r="G322" s="168"/>
      <c r="H322" s="7"/>
      <c r="I322" s="7"/>
      <c r="J322" s="141"/>
      <c r="K322" s="113"/>
      <c r="L322" s="142"/>
    </row>
    <row r="323" spans="1:12" ht="16.5" x14ac:dyDescent="0.25">
      <c r="A323" s="424" t="str">
        <f>Лист1!B93</f>
        <v>защелка замка</v>
      </c>
      <c r="B323" s="84" t="s">
        <v>82</v>
      </c>
      <c r="C323" s="84">
        <v>35</v>
      </c>
      <c r="D323" s="426">
        <f>Лист1!C93*$A$227</f>
        <v>0.26200000000000001</v>
      </c>
      <c r="E323" s="426">
        <f>Лист1!D93</f>
        <v>554</v>
      </c>
      <c r="F323" s="305">
        <f t="shared" si="14"/>
        <v>145.148</v>
      </c>
      <c r="G323" s="168"/>
      <c r="H323" s="7"/>
      <c r="I323" s="7"/>
      <c r="J323" s="141"/>
      <c r="K323" s="113"/>
      <c r="L323" s="142"/>
    </row>
    <row r="324" spans="1:12" ht="16.5" x14ac:dyDescent="0.25">
      <c r="A324" s="424" t="str">
        <f>Лист1!B94</f>
        <v>стержни клеевые по керамике</v>
      </c>
      <c r="B324" s="84" t="s">
        <v>82</v>
      </c>
      <c r="C324" s="84">
        <v>36</v>
      </c>
      <c r="D324" s="426">
        <f>Лист1!C94*$A$227</f>
        <v>2.62</v>
      </c>
      <c r="E324" s="426">
        <f>Лист1!D94</f>
        <v>180</v>
      </c>
      <c r="F324" s="305">
        <f t="shared" si="14"/>
        <v>471.6</v>
      </c>
      <c r="G324" s="168"/>
      <c r="H324" s="7"/>
      <c r="I324" s="7"/>
      <c r="J324" s="141"/>
      <c r="K324" s="113"/>
      <c r="L324" s="142"/>
    </row>
    <row r="325" spans="1:12" ht="16.5" x14ac:dyDescent="0.25">
      <c r="A325" s="424" t="str">
        <f>Лист1!B95</f>
        <v>щит распределительный</v>
      </c>
      <c r="B325" s="84" t="s">
        <v>82</v>
      </c>
      <c r="C325" s="84">
        <v>37</v>
      </c>
      <c r="D325" s="426">
        <f>Лист1!C95*$A$227</f>
        <v>0.26200000000000001</v>
      </c>
      <c r="E325" s="426">
        <f>Лист1!D95</f>
        <v>2362</v>
      </c>
      <c r="F325" s="305">
        <f t="shared" si="14"/>
        <v>618.84400000000005</v>
      </c>
      <c r="G325" s="168"/>
      <c r="H325" s="7"/>
      <c r="I325" s="7"/>
      <c r="J325" s="141"/>
      <c r="K325" s="113"/>
      <c r="L325" s="142"/>
    </row>
    <row r="326" spans="1:12" ht="16.5" x14ac:dyDescent="0.25">
      <c r="A326" s="424" t="str">
        <f>Лист1!B96</f>
        <v>фен технический</v>
      </c>
      <c r="B326" s="84" t="s">
        <v>82</v>
      </c>
      <c r="C326" s="84">
        <v>38</v>
      </c>
      <c r="D326" s="426">
        <f>Лист1!C96*$A$227</f>
        <v>0.26200000000000001</v>
      </c>
      <c r="E326" s="426">
        <f>Лист1!D96</f>
        <v>2048</v>
      </c>
      <c r="F326" s="305">
        <f t="shared" si="14"/>
        <v>536.57600000000002</v>
      </c>
      <c r="G326" s="168"/>
      <c r="H326" s="7"/>
      <c r="I326" s="7"/>
      <c r="J326" s="141"/>
      <c r="K326" s="113"/>
      <c r="L326" s="142"/>
    </row>
    <row r="327" spans="1:12" ht="16.5" x14ac:dyDescent="0.25">
      <c r="A327" s="424" t="str">
        <f>Лист1!B97</f>
        <v>струбцина</v>
      </c>
      <c r="B327" s="84" t="s">
        <v>82</v>
      </c>
      <c r="C327" s="84">
        <v>39</v>
      </c>
      <c r="D327" s="426">
        <f>Лист1!C97*$A$227</f>
        <v>0.26200000000000001</v>
      </c>
      <c r="E327" s="426">
        <f>Лист1!D97</f>
        <v>142</v>
      </c>
      <c r="F327" s="305">
        <f t="shared" si="14"/>
        <v>37.204000000000001</v>
      </c>
      <c r="G327" s="168"/>
      <c r="H327" s="7"/>
      <c r="I327" s="7"/>
      <c r="J327" s="141"/>
      <c r="K327" s="113"/>
      <c r="L327" s="142"/>
    </row>
    <row r="328" spans="1:12" ht="16.5" x14ac:dyDescent="0.25">
      <c r="A328" s="424" t="str">
        <f>Лист1!B98</f>
        <v>набор струбцины</v>
      </c>
      <c r="B328" s="84" t="s">
        <v>82</v>
      </c>
      <c r="C328" s="84">
        <v>40</v>
      </c>
      <c r="D328" s="426">
        <f>Лист1!C98*$A$227</f>
        <v>0.26200000000000001</v>
      </c>
      <c r="E328" s="426">
        <f>Лист1!D98</f>
        <v>370</v>
      </c>
      <c r="F328" s="305">
        <f t="shared" si="14"/>
        <v>96.94</v>
      </c>
      <c r="G328" s="168"/>
      <c r="H328" s="7"/>
      <c r="I328" s="7"/>
      <c r="J328" s="141"/>
      <c r="K328" s="113"/>
      <c r="L328" s="142"/>
    </row>
    <row r="329" spans="1:12" ht="16.5" x14ac:dyDescent="0.25">
      <c r="A329" s="424" t="str">
        <f>Лист1!B99</f>
        <v>сверло по бетону</v>
      </c>
      <c r="B329" s="84" t="s">
        <v>82</v>
      </c>
      <c r="C329" s="84">
        <v>41</v>
      </c>
      <c r="D329" s="426">
        <f>Лист1!C99*$A$227</f>
        <v>0.26200000000000001</v>
      </c>
      <c r="E329" s="426">
        <f>Лист1!D99</f>
        <v>77</v>
      </c>
      <c r="F329" s="305">
        <f t="shared" si="14"/>
        <v>20.173999999999999</v>
      </c>
      <c r="G329" s="168"/>
      <c r="H329" s="7"/>
      <c r="I329" s="7"/>
      <c r="J329" s="141"/>
      <c r="K329" s="113"/>
      <c r="L329" s="142"/>
    </row>
    <row r="330" spans="1:12" ht="16.5" x14ac:dyDescent="0.25">
      <c r="A330" s="424" t="str">
        <f>Лист1!B100</f>
        <v>кисть Акор работы по дереву</v>
      </c>
      <c r="B330" s="84" t="s">
        <v>82</v>
      </c>
      <c r="C330" s="84">
        <v>42</v>
      </c>
      <c r="D330" s="426">
        <f>Лист1!C100*$A$227</f>
        <v>2.3580000000000001</v>
      </c>
      <c r="E330" s="426">
        <f>Лист1!D100</f>
        <v>35</v>
      </c>
      <c r="F330" s="305">
        <f t="shared" si="14"/>
        <v>82.53</v>
      </c>
      <c r="G330" s="168"/>
      <c r="H330" s="7"/>
      <c r="I330" s="7"/>
      <c r="J330" s="141"/>
      <c r="K330" s="113"/>
      <c r="L330" s="142"/>
    </row>
    <row r="331" spans="1:12" ht="16.5" x14ac:dyDescent="0.25">
      <c r="A331" s="424" t="str">
        <f>Лист1!B101</f>
        <v>эмаль аэрозоль желтая 520 мл</v>
      </c>
      <c r="B331" s="84" t="s">
        <v>82</v>
      </c>
      <c r="C331" s="84">
        <v>43</v>
      </c>
      <c r="D331" s="426">
        <f>Лист1!C101*$A$227</f>
        <v>0.26200000000000001</v>
      </c>
      <c r="E331" s="426">
        <f>Лист1!D101</f>
        <v>213</v>
      </c>
      <c r="F331" s="305">
        <f t="shared" si="14"/>
        <v>55.806000000000004</v>
      </c>
      <c r="G331" s="168"/>
      <c r="H331" s="7"/>
      <c r="I331" s="7"/>
      <c r="J331" s="141"/>
      <c r="K331" s="113"/>
      <c r="L331" s="142"/>
    </row>
    <row r="332" spans="1:12" ht="16.5" x14ac:dyDescent="0.25">
      <c r="A332" s="424" t="str">
        <f>Лист1!B102</f>
        <v>эмаль аэрозоль голубая 520 мл</v>
      </c>
      <c r="B332" s="84" t="s">
        <v>82</v>
      </c>
      <c r="C332" s="84">
        <v>44</v>
      </c>
      <c r="D332" s="426">
        <f>Лист1!C102*$A$227</f>
        <v>0.78600000000000003</v>
      </c>
      <c r="E332" s="426">
        <f>Лист1!D102</f>
        <v>205</v>
      </c>
      <c r="F332" s="305">
        <f t="shared" si="14"/>
        <v>161.13</v>
      </c>
      <c r="G332" s="168"/>
      <c r="H332" s="7"/>
      <c r="I332" s="7"/>
      <c r="J332" s="141"/>
      <c r="K332" s="113"/>
      <c r="L332" s="142"/>
    </row>
    <row r="333" spans="1:12" ht="16.5" x14ac:dyDescent="0.25">
      <c r="A333" s="424" t="str">
        <f>Лист1!B103</f>
        <v>набор инструментов зубр</v>
      </c>
      <c r="B333" s="84" t="s">
        <v>82</v>
      </c>
      <c r="C333" s="84">
        <v>45</v>
      </c>
      <c r="D333" s="426">
        <f>Лист1!C103*$A$227</f>
        <v>0.26200000000000001</v>
      </c>
      <c r="E333" s="426">
        <f>Лист1!D103</f>
        <v>3534</v>
      </c>
      <c r="F333" s="305">
        <f t="shared" si="14"/>
        <v>925.90800000000002</v>
      </c>
      <c r="G333" s="168"/>
      <c r="H333" s="7"/>
      <c r="I333" s="7"/>
      <c r="J333" s="141"/>
      <c r="K333" s="113"/>
      <c r="L333" s="142"/>
    </row>
    <row r="334" spans="1:12" ht="16.5" x14ac:dyDescent="0.25">
      <c r="A334" s="424" t="str">
        <f>Лист1!B104</f>
        <v>набор сьемников для панели</v>
      </c>
      <c r="B334" s="84" t="s">
        <v>82</v>
      </c>
      <c r="C334" s="84">
        <v>46</v>
      </c>
      <c r="D334" s="426">
        <f>Лист1!C104*$A$227</f>
        <v>0.26200000000000001</v>
      </c>
      <c r="E334" s="426">
        <f>Лист1!D104</f>
        <v>583</v>
      </c>
      <c r="F334" s="305">
        <f t="shared" si="14"/>
        <v>152.74600000000001</v>
      </c>
      <c r="G334" s="168"/>
      <c r="H334" s="7"/>
      <c r="I334" s="7"/>
      <c r="J334" s="141"/>
      <c r="K334" s="113"/>
      <c r="L334" s="142"/>
    </row>
    <row r="335" spans="1:12" ht="16.5" x14ac:dyDescent="0.25">
      <c r="A335" s="424" t="str">
        <f>Лист1!B105</f>
        <v>смазка проникающая</v>
      </c>
      <c r="B335" s="84" t="s">
        <v>82</v>
      </c>
      <c r="C335" s="84">
        <v>47</v>
      </c>
      <c r="D335" s="426">
        <f>Лист1!C105*$A$227</f>
        <v>0.26200000000000001</v>
      </c>
      <c r="E335" s="426">
        <f>Лист1!D105</f>
        <v>122</v>
      </c>
      <c r="F335" s="305">
        <f t="shared" si="14"/>
        <v>31.964000000000002</v>
      </c>
      <c r="G335" s="168"/>
      <c r="H335" s="7"/>
      <c r="I335" s="7"/>
      <c r="J335" s="141"/>
      <c r="K335" s="113"/>
      <c r="L335" s="142"/>
    </row>
    <row r="336" spans="1:12" ht="16.5" x14ac:dyDescent="0.25">
      <c r="A336" s="424" t="str">
        <f>Лист1!B106</f>
        <v>воронка уфа</v>
      </c>
      <c r="B336" s="84" t="s">
        <v>82</v>
      </c>
      <c r="C336" s="84">
        <v>48</v>
      </c>
      <c r="D336" s="426">
        <f>Лист1!C106*$A$227</f>
        <v>0.26200000000000001</v>
      </c>
      <c r="E336" s="426">
        <f>Лист1!D106</f>
        <v>130</v>
      </c>
      <c r="F336" s="305">
        <f t="shared" si="14"/>
        <v>34.06</v>
      </c>
      <c r="G336" s="168"/>
      <c r="H336" s="7"/>
      <c r="I336" s="7"/>
      <c r="J336" s="141"/>
      <c r="K336" s="113"/>
      <c r="L336" s="142"/>
    </row>
    <row r="337" spans="1:12" ht="16.5" x14ac:dyDescent="0.25">
      <c r="A337" s="424" t="str">
        <f>Лист1!B107</f>
        <v>угол крепежный усиленный</v>
      </c>
      <c r="B337" s="84" t="s">
        <v>82</v>
      </c>
      <c r="C337" s="84">
        <v>49</v>
      </c>
      <c r="D337" s="426">
        <f>Лист1!C107*$A$227</f>
        <v>1.5720000000000001</v>
      </c>
      <c r="E337" s="426">
        <f>Лист1!D107</f>
        <v>110</v>
      </c>
      <c r="F337" s="305">
        <f t="shared" si="14"/>
        <v>172.92000000000002</v>
      </c>
      <c r="G337" s="168"/>
      <c r="H337" s="7"/>
      <c r="I337" s="7"/>
      <c r="J337" s="141"/>
      <c r="K337" s="113"/>
      <c r="L337" s="142"/>
    </row>
    <row r="338" spans="1:12" ht="16.5" x14ac:dyDescent="0.25">
      <c r="A338" s="424" t="str">
        <f>Лист1!B108</f>
        <v>обои винил</v>
      </c>
      <c r="B338" s="84" t="s">
        <v>82</v>
      </c>
      <c r="C338" s="84">
        <v>50</v>
      </c>
      <c r="D338" s="426">
        <f>Лист1!C108*$A$227</f>
        <v>1.048</v>
      </c>
      <c r="E338" s="426">
        <f>Лист1!D108</f>
        <v>652</v>
      </c>
      <c r="F338" s="305">
        <f t="shared" si="14"/>
        <v>683.29600000000005</v>
      </c>
      <c r="G338" s="168"/>
      <c r="H338" s="7"/>
      <c r="I338" s="7"/>
      <c r="J338" s="141"/>
      <c r="K338" s="113"/>
      <c r="L338" s="142"/>
    </row>
    <row r="339" spans="1:12" ht="16.5" x14ac:dyDescent="0.25">
      <c r="A339" s="424" t="str">
        <f>Лист1!B109</f>
        <v>альба обои влагостойкие</v>
      </c>
      <c r="B339" s="84" t="s">
        <v>82</v>
      </c>
      <c r="C339" s="84">
        <v>51</v>
      </c>
      <c r="D339" s="426">
        <f>Лист1!C109*$A$227</f>
        <v>0.52400000000000002</v>
      </c>
      <c r="E339" s="426">
        <f>Лист1!D109</f>
        <v>406</v>
      </c>
      <c r="F339" s="305">
        <f t="shared" si="14"/>
        <v>212.744</v>
      </c>
      <c r="G339" s="168"/>
      <c r="H339" s="7"/>
      <c r="I339" s="7"/>
      <c r="J339" s="141"/>
      <c r="K339" s="113"/>
      <c r="L339" s="142"/>
    </row>
    <row r="340" spans="1:12" ht="12.75" customHeight="1" x14ac:dyDescent="0.25">
      <c r="A340" s="424" t="str">
        <f>Лист1!B110</f>
        <v>эмаль пф-266 алк. Красно-коричневая</v>
      </c>
      <c r="B340" s="84" t="s">
        <v>82</v>
      </c>
      <c r="C340" s="84">
        <v>52</v>
      </c>
      <c r="D340" s="426">
        <f>Лист1!C110*$A$227</f>
        <v>0.52400000000000002</v>
      </c>
      <c r="E340" s="426">
        <f>Лист1!D110</f>
        <v>625</v>
      </c>
      <c r="F340" s="305">
        <f t="shared" si="14"/>
        <v>327.5</v>
      </c>
      <c r="G340" s="168"/>
      <c r="H340" s="7"/>
      <c r="I340" s="7"/>
      <c r="J340" s="141"/>
      <c r="K340" s="113"/>
      <c r="L340" s="142"/>
    </row>
    <row r="341" spans="1:12" ht="16.5" x14ac:dyDescent="0.25">
      <c r="A341" s="424" t="str">
        <f>Лист1!B111</f>
        <v>эмаль олеколор пф-115 алк белая</v>
      </c>
      <c r="B341" s="84" t="s">
        <v>82</v>
      </c>
      <c r="C341" s="84">
        <v>53</v>
      </c>
      <c r="D341" s="426">
        <f>Лист1!C111*$A$227</f>
        <v>0.26200000000000001</v>
      </c>
      <c r="E341" s="426">
        <f>Лист1!D111</f>
        <v>262</v>
      </c>
      <c r="F341" s="305">
        <f t="shared" si="14"/>
        <v>68.644000000000005</v>
      </c>
      <c r="G341" s="168"/>
      <c r="H341" s="7"/>
      <c r="I341" s="7"/>
      <c r="J341" s="141"/>
      <c r="K341" s="113"/>
      <c r="L341" s="142"/>
    </row>
    <row r="342" spans="1:12" ht="16.5" x14ac:dyDescent="0.25">
      <c r="A342" s="424" t="str">
        <f>Лист1!B112</f>
        <v>валик Акор мастер240*8</v>
      </c>
      <c r="B342" s="84" t="s">
        <v>82</v>
      </c>
      <c r="C342" s="84">
        <v>54</v>
      </c>
      <c r="D342" s="426">
        <f>Лист1!C112*$A$227</f>
        <v>0.26200000000000001</v>
      </c>
      <c r="E342" s="426">
        <f>Лист1!D112</f>
        <v>220</v>
      </c>
      <c r="F342" s="305">
        <f t="shared" si="14"/>
        <v>57.64</v>
      </c>
      <c r="G342" s="168"/>
      <c r="H342" s="7"/>
      <c r="I342" s="7"/>
      <c r="J342" s="141"/>
      <c r="K342" s="113"/>
      <c r="L342" s="142"/>
    </row>
    <row r="343" spans="1:12" ht="16.5" x14ac:dyDescent="0.25">
      <c r="A343" s="424" t="str">
        <f>Лист1!B113</f>
        <v>кисть акор столичная</v>
      </c>
      <c r="B343" s="84" t="s">
        <v>82</v>
      </c>
      <c r="C343" s="84">
        <v>55</v>
      </c>
      <c r="D343" s="426">
        <f>Лист1!C113*$A$227</f>
        <v>0.52400000000000002</v>
      </c>
      <c r="E343" s="426">
        <f>Лист1!D113</f>
        <v>39</v>
      </c>
      <c r="F343" s="305">
        <f t="shared" si="14"/>
        <v>20.436</v>
      </c>
      <c r="G343" s="168"/>
      <c r="H343" s="7"/>
      <c r="I343" s="7"/>
      <c r="J343" s="141"/>
      <c r="K343" s="113"/>
      <c r="L343" s="142"/>
    </row>
    <row r="344" spans="1:12" ht="16.5" x14ac:dyDescent="0.25">
      <c r="A344" s="424" t="str">
        <f>Лист1!B114</f>
        <v>клей обойный</v>
      </c>
      <c r="B344" s="84" t="s">
        <v>82</v>
      </c>
      <c r="C344" s="84">
        <v>56</v>
      </c>
      <c r="D344" s="426">
        <f>Лист1!C114*$A$227</f>
        <v>0.26200000000000001</v>
      </c>
      <c r="E344" s="426">
        <f>Лист1!D114</f>
        <v>380</v>
      </c>
      <c r="F344" s="305">
        <f t="shared" si="14"/>
        <v>99.56</v>
      </c>
      <c r="G344" s="168"/>
      <c r="H344" s="7"/>
      <c r="I344" s="7"/>
      <c r="J344" s="141"/>
      <c r="K344" s="113"/>
      <c r="L344" s="142"/>
    </row>
    <row r="345" spans="1:12" ht="16.5" x14ac:dyDescent="0.25">
      <c r="A345" s="424" t="str">
        <f>Лист1!B115</f>
        <v>удлинитель нильсон</v>
      </c>
      <c r="B345" s="84" t="s">
        <v>82</v>
      </c>
      <c r="C345" s="84">
        <v>57</v>
      </c>
      <c r="D345" s="426">
        <f>Лист1!C115*$A$227</f>
        <v>0.52400000000000002</v>
      </c>
      <c r="E345" s="426">
        <f>Лист1!D115</f>
        <v>671</v>
      </c>
      <c r="F345" s="305">
        <f t="shared" si="14"/>
        <v>351.60400000000004</v>
      </c>
      <c r="G345" s="168"/>
      <c r="H345" s="7"/>
      <c r="I345" s="7"/>
      <c r="J345" s="141"/>
      <c r="K345" s="113"/>
      <c r="L345" s="142"/>
    </row>
    <row r="346" spans="1:12" ht="16.5" x14ac:dyDescent="0.25">
      <c r="A346" s="424" t="str">
        <f>Лист1!B116</f>
        <v>штора рул 180 см</v>
      </c>
      <c r="B346" s="84" t="s">
        <v>82</v>
      </c>
      <c r="C346" s="84">
        <v>58</v>
      </c>
      <c r="D346" s="426">
        <f>Лист1!C116*$A$227</f>
        <v>0.26200000000000001</v>
      </c>
      <c r="E346" s="426">
        <f>Лист1!D116</f>
        <v>2880</v>
      </c>
      <c r="F346" s="305">
        <f t="shared" si="14"/>
        <v>754.56000000000006</v>
      </c>
      <c r="G346" s="168"/>
      <c r="H346" s="7"/>
      <c r="I346" s="7"/>
      <c r="J346" s="141"/>
      <c r="K346" s="113"/>
      <c r="L346" s="142"/>
    </row>
    <row r="347" spans="1:12" ht="16.5" x14ac:dyDescent="0.25">
      <c r="A347" s="424" t="str">
        <f>Лист1!B117</f>
        <v>штора рул 150 см</v>
      </c>
      <c r="B347" s="84" t="s">
        <v>82</v>
      </c>
      <c r="C347" s="84">
        <v>59</v>
      </c>
      <c r="D347" s="426">
        <f>Лист1!C117*$A$227</f>
        <v>0.26200000000000001</v>
      </c>
      <c r="E347" s="426">
        <f>Лист1!D117</f>
        <v>2480</v>
      </c>
      <c r="F347" s="305">
        <f t="shared" si="14"/>
        <v>649.76</v>
      </c>
      <c r="G347" s="168"/>
      <c r="H347" s="7"/>
      <c r="I347" s="7"/>
      <c r="J347" s="141"/>
      <c r="K347" s="113"/>
      <c r="L347" s="142"/>
    </row>
    <row r="348" spans="1:12" ht="16.5" x14ac:dyDescent="0.25">
      <c r="A348" s="424" t="str">
        <f>Лист1!B118</f>
        <v>клей космофен</v>
      </c>
      <c r="B348" s="84" t="s">
        <v>82</v>
      </c>
      <c r="C348" s="84">
        <v>60</v>
      </c>
      <c r="D348" s="426">
        <f>Лист1!C118*$A$227</f>
        <v>0.52400000000000002</v>
      </c>
      <c r="E348" s="426">
        <f>Лист1!D118</f>
        <v>180</v>
      </c>
      <c r="F348" s="305">
        <f t="shared" si="14"/>
        <v>94.320000000000007</v>
      </c>
      <c r="G348" s="168"/>
      <c r="H348" s="7"/>
      <c r="I348" s="7"/>
      <c r="J348" s="141"/>
      <c r="K348" s="113"/>
      <c r="L348" s="142"/>
    </row>
    <row r="349" spans="1:12" ht="16.5" x14ac:dyDescent="0.25">
      <c r="A349" s="424" t="str">
        <f>Лист1!B119</f>
        <v>обои ротанг</v>
      </c>
      <c r="B349" s="84" t="s">
        <v>82</v>
      </c>
      <c r="C349" s="84">
        <v>61</v>
      </c>
      <c r="D349" s="426">
        <f>Лист1!C119*$A$227</f>
        <v>1.31</v>
      </c>
      <c r="E349" s="426">
        <f>Лист1!D119</f>
        <v>180</v>
      </c>
      <c r="F349" s="305">
        <f t="shared" si="14"/>
        <v>235.8</v>
      </c>
      <c r="G349" s="168"/>
      <c r="H349" s="7"/>
      <c r="I349" s="7"/>
      <c r="J349" s="141"/>
      <c r="K349" s="113"/>
      <c r="L349" s="142"/>
    </row>
    <row r="350" spans="1:12" ht="16.5" x14ac:dyDescent="0.25">
      <c r="A350" s="424" t="str">
        <f>Лист1!B120</f>
        <v>эмаль пф-115</v>
      </c>
      <c r="B350" s="84" t="s">
        <v>82</v>
      </c>
      <c r="C350" s="84">
        <v>62</v>
      </c>
      <c r="D350" s="426">
        <f>Лист1!C120*$A$227</f>
        <v>0.26200000000000001</v>
      </c>
      <c r="E350" s="426">
        <f>Лист1!D120</f>
        <v>1291</v>
      </c>
      <c r="F350" s="305">
        <f t="shared" si="14"/>
        <v>338.24200000000002</v>
      </c>
      <c r="G350" s="168"/>
      <c r="H350" s="7"/>
      <c r="I350" s="7"/>
      <c r="J350" s="141"/>
      <c r="K350" s="113"/>
      <c r="L350" s="142"/>
    </row>
    <row r="351" spans="1:12" ht="16.5" x14ac:dyDescent="0.25">
      <c r="A351" s="424" t="str">
        <f>Лист1!B121</f>
        <v>обои альба</v>
      </c>
      <c r="B351" s="84" t="s">
        <v>82</v>
      </c>
      <c r="C351" s="84">
        <v>63</v>
      </c>
      <c r="D351" s="426">
        <f>Лист1!C121*$A$227</f>
        <v>0.26200000000000001</v>
      </c>
      <c r="E351" s="426">
        <f>Лист1!D121</f>
        <v>162.4</v>
      </c>
      <c r="F351" s="305">
        <f t="shared" si="14"/>
        <v>42.5488</v>
      </c>
      <c r="G351" s="168"/>
      <c r="H351" s="7"/>
      <c r="I351" s="7"/>
      <c r="J351" s="141"/>
      <c r="K351" s="113"/>
      <c r="L351" s="142"/>
    </row>
    <row r="352" spans="1:12" ht="16.5" x14ac:dyDescent="0.25">
      <c r="A352" s="424" t="str">
        <f>Лист1!B122</f>
        <v>гвозди строит</v>
      </c>
      <c r="B352" s="84" t="s">
        <v>82</v>
      </c>
      <c r="C352" s="84">
        <v>64</v>
      </c>
      <c r="D352" s="426">
        <f>Лист1!C122*$A$227</f>
        <v>0.78600000000000003</v>
      </c>
      <c r="E352" s="426">
        <f>Лист1!D122</f>
        <v>100</v>
      </c>
      <c r="F352" s="305">
        <f t="shared" si="14"/>
        <v>78.600000000000009</v>
      </c>
      <c r="G352" s="168"/>
      <c r="H352" s="7"/>
      <c r="I352" s="7"/>
      <c r="J352" s="141"/>
      <c r="K352" s="113"/>
      <c r="L352" s="142"/>
    </row>
    <row r="353" spans="1:12" ht="16.5" x14ac:dyDescent="0.25">
      <c r="A353" s="424" t="str">
        <f>Лист1!B123</f>
        <v>молоток кованый</v>
      </c>
      <c r="B353" s="84" t="s">
        <v>82</v>
      </c>
      <c r="C353" s="84">
        <v>65</v>
      </c>
      <c r="D353" s="426">
        <f>Лист1!C123*$A$227</f>
        <v>0.26200000000000001</v>
      </c>
      <c r="E353" s="426">
        <f>Лист1!D123</f>
        <v>212</v>
      </c>
      <c r="F353" s="305">
        <f t="shared" si="14"/>
        <v>55.544000000000004</v>
      </c>
      <c r="G353" s="168"/>
      <c r="H353" s="7"/>
      <c r="I353" s="7"/>
      <c r="J353" s="141"/>
      <c r="K353" s="113"/>
      <c r="L353" s="142"/>
    </row>
    <row r="354" spans="1:12" ht="16.5" x14ac:dyDescent="0.25">
      <c r="A354" s="424" t="str">
        <f>Лист1!B124</f>
        <v>фанера береза</v>
      </c>
      <c r="B354" s="84" t="s">
        <v>82</v>
      </c>
      <c r="C354" s="84">
        <v>66</v>
      </c>
      <c r="D354" s="426">
        <f>Лист1!C124*$A$227</f>
        <v>2.62</v>
      </c>
      <c r="E354" s="426">
        <f>Лист1!D124</f>
        <v>775</v>
      </c>
      <c r="F354" s="305">
        <f t="shared" si="14"/>
        <v>2030.5</v>
      </c>
      <c r="G354" s="168"/>
      <c r="H354" s="7"/>
      <c r="I354" s="7"/>
      <c r="J354" s="141"/>
      <c r="K354" s="113"/>
      <c r="L354" s="142"/>
    </row>
    <row r="355" spans="1:12" ht="16.5" x14ac:dyDescent="0.25">
      <c r="A355" s="424" t="str">
        <f>Лист1!B125</f>
        <v>проступь черная</v>
      </c>
      <c r="B355" s="84" t="s">
        <v>82</v>
      </c>
      <c r="C355" s="84">
        <v>67</v>
      </c>
      <c r="D355" s="426">
        <f>Лист1!C125*$A$227</f>
        <v>0.52400000000000002</v>
      </c>
      <c r="E355" s="426">
        <f>Лист1!D125</f>
        <v>1100</v>
      </c>
      <c r="F355" s="305">
        <f t="shared" si="14"/>
        <v>576.4</v>
      </c>
      <c r="G355" s="168"/>
      <c r="H355" s="7"/>
      <c r="I355" s="7"/>
      <c r="J355" s="141"/>
      <c r="K355" s="113"/>
      <c r="L355" s="142"/>
    </row>
    <row r="356" spans="1:12" ht="16.5" x14ac:dyDescent="0.25">
      <c r="A356" s="424" t="str">
        <f>Лист1!B126</f>
        <v>коврик влаговпит</v>
      </c>
      <c r="B356" s="84" t="s">
        <v>82</v>
      </c>
      <c r="C356" s="84">
        <v>68</v>
      </c>
      <c r="D356" s="426">
        <f>Лист1!C126*$A$227</f>
        <v>0.52400000000000002</v>
      </c>
      <c r="E356" s="426">
        <f>Лист1!D126</f>
        <v>680</v>
      </c>
      <c r="F356" s="305">
        <f t="shared" si="14"/>
        <v>356.32</v>
      </c>
      <c r="G356" s="168"/>
      <c r="H356" s="7"/>
      <c r="I356" s="7"/>
      <c r="J356" s="141"/>
      <c r="K356" s="113"/>
      <c r="L356" s="142"/>
    </row>
    <row r="357" spans="1:12" ht="16.5" x14ac:dyDescent="0.25">
      <c r="A357" s="424" t="str">
        <f>Лист1!B127</f>
        <v>угол крепежный</v>
      </c>
      <c r="B357" s="84" t="s">
        <v>82</v>
      </c>
      <c r="C357" s="84">
        <v>69</v>
      </c>
      <c r="D357" s="426">
        <f>Лист1!C127*$A$227</f>
        <v>5.24</v>
      </c>
      <c r="E357" s="426">
        <f>Лист1!D127</f>
        <v>13</v>
      </c>
      <c r="F357" s="305">
        <f t="shared" si="14"/>
        <v>68.12</v>
      </c>
      <c r="G357" s="168"/>
      <c r="H357" s="7"/>
      <c r="I357" s="7"/>
      <c r="J357" s="141"/>
      <c r="K357" s="113"/>
      <c r="L357" s="142"/>
    </row>
    <row r="358" spans="1:12" ht="16.5" x14ac:dyDescent="0.25">
      <c r="A358" s="424" t="str">
        <f>Лист1!B128</f>
        <v>петля накладная</v>
      </c>
      <c r="B358" s="84" t="s">
        <v>82</v>
      </c>
      <c r="C358" s="84">
        <v>70</v>
      </c>
      <c r="D358" s="426">
        <f>Лист1!C128*$A$227</f>
        <v>0.52400000000000002</v>
      </c>
      <c r="E358" s="426">
        <f>Лист1!D128</f>
        <v>26</v>
      </c>
      <c r="F358" s="305">
        <f t="shared" si="14"/>
        <v>13.624000000000001</v>
      </c>
      <c r="G358" s="168"/>
      <c r="H358" s="7"/>
      <c r="I358" s="7"/>
      <c r="J358" s="141"/>
      <c r="K358" s="113"/>
      <c r="L358" s="142"/>
    </row>
    <row r="359" spans="1:12" ht="16.5" x14ac:dyDescent="0.25">
      <c r="A359" s="424" t="str">
        <f>Лист1!B129</f>
        <v>проушина</v>
      </c>
      <c r="B359" s="84" t="s">
        <v>82</v>
      </c>
      <c r="C359" s="84">
        <v>71</v>
      </c>
      <c r="D359" s="426">
        <f>Лист1!C129*$A$227</f>
        <v>0.52400000000000002</v>
      </c>
      <c r="E359" s="426">
        <f>Лист1!D129</f>
        <v>8</v>
      </c>
      <c r="F359" s="305">
        <f t="shared" si="14"/>
        <v>4.1920000000000002</v>
      </c>
      <c r="G359" s="168"/>
      <c r="H359" s="7"/>
      <c r="I359" s="7"/>
      <c r="J359" s="141"/>
      <c r="K359" s="113"/>
      <c r="L359" s="142"/>
    </row>
    <row r="360" spans="1:12" ht="16.5" x14ac:dyDescent="0.25">
      <c r="A360" s="424" t="str">
        <f>Лист1!B130</f>
        <v>домкрат</v>
      </c>
      <c r="B360" s="84" t="s">
        <v>82</v>
      </c>
      <c r="C360" s="84">
        <v>72</v>
      </c>
      <c r="D360" s="426">
        <f>Лист1!C130*$A$227</f>
        <v>0.26200000000000001</v>
      </c>
      <c r="E360" s="426">
        <f>Лист1!D130</f>
        <v>3837</v>
      </c>
      <c r="F360" s="305">
        <f t="shared" si="14"/>
        <v>1005.2940000000001</v>
      </c>
      <c r="G360" s="168"/>
      <c r="H360" s="7"/>
      <c r="I360" s="7"/>
      <c r="J360" s="141"/>
      <c r="K360" s="113"/>
      <c r="L360" s="142"/>
    </row>
    <row r="361" spans="1:12" ht="16.5" x14ac:dyDescent="0.25">
      <c r="A361" s="424" t="str">
        <f>Лист1!B131</f>
        <v>скотч упаковочный</v>
      </c>
      <c r="B361" s="84" t="s">
        <v>82</v>
      </c>
      <c r="C361" s="84">
        <v>73</v>
      </c>
      <c r="D361" s="426">
        <f>Лист1!C131*$A$227</f>
        <v>1.31</v>
      </c>
      <c r="E361" s="426">
        <f>Лист1!D131</f>
        <v>110</v>
      </c>
      <c r="F361" s="305">
        <f t="shared" si="14"/>
        <v>144.1</v>
      </c>
      <c r="G361" s="168"/>
      <c r="H361" s="7"/>
      <c r="I361" s="7"/>
      <c r="J361" s="141"/>
      <c r="K361" s="113"/>
      <c r="L361" s="142"/>
    </row>
    <row r="362" spans="1:12" ht="16.5" x14ac:dyDescent="0.25">
      <c r="A362" s="424" t="str">
        <f>Лист1!B132</f>
        <v>скотч 48мм</v>
      </c>
      <c r="B362" s="84" t="s">
        <v>82</v>
      </c>
      <c r="C362" s="84">
        <v>74</v>
      </c>
      <c r="D362" s="426">
        <f>Лист1!C132*$A$227</f>
        <v>1.5720000000000001</v>
      </c>
      <c r="E362" s="426">
        <f>Лист1!D132</f>
        <v>54</v>
      </c>
      <c r="F362" s="305">
        <f t="shared" si="14"/>
        <v>84.888000000000005</v>
      </c>
      <c r="G362" s="168"/>
      <c r="H362" s="7"/>
      <c r="I362" s="7"/>
      <c r="J362" s="141"/>
      <c r="K362" s="113"/>
      <c r="L362" s="142"/>
    </row>
    <row r="363" spans="1:12" ht="16.5" x14ac:dyDescent="0.25">
      <c r="A363" s="424" t="str">
        <f>Лист1!B133</f>
        <v>сердцевина цам</v>
      </c>
      <c r="B363" s="84" t="s">
        <v>82</v>
      </c>
      <c r="C363" s="84">
        <v>75</v>
      </c>
      <c r="D363" s="426">
        <f>Лист1!C133*$A$227</f>
        <v>0.26200000000000001</v>
      </c>
      <c r="E363" s="426">
        <f>Лист1!D133</f>
        <v>232</v>
      </c>
      <c r="F363" s="305">
        <f t="shared" si="14"/>
        <v>60.784000000000006</v>
      </c>
      <c r="G363" s="168"/>
      <c r="H363" s="7"/>
      <c r="I363" s="7"/>
      <c r="J363" s="141"/>
      <c r="K363" s="113"/>
      <c r="L363" s="142"/>
    </row>
    <row r="364" spans="1:12" ht="16.5" x14ac:dyDescent="0.25">
      <c r="A364" s="424" t="str">
        <f>Лист1!B134</f>
        <v>прожектор светодиод</v>
      </c>
      <c r="B364" s="84" t="s">
        <v>82</v>
      </c>
      <c r="C364" s="84">
        <v>76</v>
      </c>
      <c r="D364" s="426">
        <f>Лист1!C134*$A$227</f>
        <v>0.52400000000000002</v>
      </c>
      <c r="E364" s="426">
        <f>Лист1!D134</f>
        <v>400</v>
      </c>
      <c r="F364" s="305">
        <f t="shared" si="14"/>
        <v>209.60000000000002</v>
      </c>
      <c r="G364" s="168"/>
      <c r="H364" s="7"/>
      <c r="I364" s="7"/>
      <c r="J364" s="141"/>
      <c r="K364" s="113"/>
      <c r="L364" s="142"/>
    </row>
    <row r="365" spans="1:12" ht="16.5" x14ac:dyDescent="0.25">
      <c r="A365" s="424" t="str">
        <f>Лист1!B135</f>
        <v>эмаль акрил белая 0,8 кг</v>
      </c>
      <c r="B365" s="84" t="s">
        <v>82</v>
      </c>
      <c r="C365" s="84">
        <v>77</v>
      </c>
      <c r="D365" s="426">
        <f>Лист1!C135*$A$227</f>
        <v>0.26200000000000001</v>
      </c>
      <c r="E365" s="426">
        <f>Лист1!D135</f>
        <v>380</v>
      </c>
      <c r="F365" s="305">
        <f t="shared" si="14"/>
        <v>99.56</v>
      </c>
      <c r="G365" s="168"/>
      <c r="H365" s="7"/>
      <c r="I365" s="7"/>
      <c r="J365" s="141"/>
      <c r="K365" s="113"/>
      <c r="L365" s="142"/>
    </row>
    <row r="366" spans="1:12" ht="16.5" x14ac:dyDescent="0.25">
      <c r="A366" s="424" t="str">
        <f>Лист1!B136</f>
        <v>универс колер 80 мл алый</v>
      </c>
      <c r="B366" s="84" t="s">
        <v>82</v>
      </c>
      <c r="C366" s="84">
        <v>78</v>
      </c>
      <c r="D366" s="426">
        <f>Лист1!C136*$A$227</f>
        <v>0.26200000000000001</v>
      </c>
      <c r="E366" s="426">
        <f>Лист1!D136</f>
        <v>175</v>
      </c>
      <c r="F366" s="305">
        <f t="shared" si="14"/>
        <v>45.85</v>
      </c>
      <c r="G366" s="168"/>
      <c r="H366" s="7"/>
      <c r="I366" s="7"/>
      <c r="J366" s="141"/>
      <c r="K366" s="113"/>
      <c r="L366" s="142"/>
    </row>
    <row r="367" spans="1:12" ht="16.5" x14ac:dyDescent="0.25">
      <c r="A367" s="424" t="str">
        <f>Лист1!B137</f>
        <v>универс колер 80 мл зеленый</v>
      </c>
      <c r="B367" s="84" t="s">
        <v>82</v>
      </c>
      <c r="C367" s="84">
        <v>79</v>
      </c>
      <c r="D367" s="426">
        <f>Лист1!C137*$A$227</f>
        <v>0.26200000000000001</v>
      </c>
      <c r="E367" s="426">
        <f>Лист1!D137</f>
        <v>175</v>
      </c>
      <c r="F367" s="305">
        <f t="shared" si="14"/>
        <v>45.85</v>
      </c>
      <c r="G367" s="168"/>
      <c r="H367" s="7"/>
      <c r="I367" s="7"/>
      <c r="J367" s="141"/>
      <c r="K367" s="113"/>
      <c r="L367" s="142"/>
    </row>
    <row r="368" spans="1:12" ht="16.5" x14ac:dyDescent="0.25">
      <c r="A368" s="424" t="str">
        <f>Лист1!B138</f>
        <v>кран бабочка</v>
      </c>
      <c r="B368" s="84" t="s">
        <v>82</v>
      </c>
      <c r="C368" s="84">
        <v>80</v>
      </c>
      <c r="D368" s="426">
        <f>Лист1!C138*$A$227</f>
        <v>4.1920000000000002</v>
      </c>
      <c r="E368" s="426">
        <f>Лист1!D138</f>
        <v>980</v>
      </c>
      <c r="F368" s="305">
        <f t="shared" ref="F368:F431" si="15">D368*E368</f>
        <v>4108.16</v>
      </c>
      <c r="G368" s="168"/>
      <c r="H368" s="7"/>
      <c r="I368" s="7"/>
      <c r="J368" s="141"/>
      <c r="K368" s="113"/>
      <c r="L368" s="142"/>
    </row>
    <row r="369" spans="1:12" ht="16.5" x14ac:dyDescent="0.25">
      <c r="A369" s="424" t="str">
        <f>Лист1!B139</f>
        <v>вдк интерьерная</v>
      </c>
      <c r="B369" s="84" t="s">
        <v>82</v>
      </c>
      <c r="C369" s="84">
        <v>81</v>
      </c>
      <c r="D369" s="426">
        <f>Лист1!C139*$A$227</f>
        <v>0.26200000000000001</v>
      </c>
      <c r="E369" s="426">
        <f>Лист1!D139</f>
        <v>382</v>
      </c>
      <c r="F369" s="305">
        <f t="shared" si="15"/>
        <v>100.084</v>
      </c>
      <c r="G369" s="168"/>
      <c r="H369" s="7"/>
      <c r="I369" s="7"/>
      <c r="J369" s="141"/>
      <c r="K369" s="113"/>
      <c r="L369" s="142"/>
    </row>
    <row r="370" spans="1:12" ht="16.5" x14ac:dyDescent="0.25">
      <c r="A370" s="424" t="str">
        <f>Лист1!B140</f>
        <v>замок навесной</v>
      </c>
      <c r="B370" s="84" t="s">
        <v>82</v>
      </c>
      <c r="C370" s="84">
        <v>82</v>
      </c>
      <c r="D370" s="426">
        <f>Лист1!C140*$A$227</f>
        <v>0.26200000000000001</v>
      </c>
      <c r="E370" s="426">
        <f>Лист1!D140</f>
        <v>159</v>
      </c>
      <c r="F370" s="305">
        <f t="shared" si="15"/>
        <v>41.658000000000001</v>
      </c>
      <c r="G370" s="168"/>
      <c r="H370" s="7"/>
      <c r="I370" s="7"/>
      <c r="J370" s="141"/>
      <c r="K370" s="113"/>
      <c r="L370" s="142"/>
    </row>
    <row r="371" spans="1:12" ht="16.5" x14ac:dyDescent="0.25">
      <c r="A371" s="424" t="str">
        <f>Лист1!B141</f>
        <v>петля накладная 85 левая</v>
      </c>
      <c r="B371" s="84" t="s">
        <v>82</v>
      </c>
      <c r="C371" s="84">
        <v>83</v>
      </c>
      <c r="D371" s="426">
        <f>Лист1!C141*$A$227</f>
        <v>0.52400000000000002</v>
      </c>
      <c r="E371" s="426">
        <f>Лист1!D141</f>
        <v>36</v>
      </c>
      <c r="F371" s="305">
        <f t="shared" si="15"/>
        <v>18.864000000000001</v>
      </c>
      <c r="G371" s="168"/>
      <c r="H371" s="7"/>
      <c r="I371" s="7"/>
      <c r="J371" s="141"/>
      <c r="K371" s="113"/>
      <c r="L371" s="142"/>
    </row>
    <row r="372" spans="1:12" ht="16.5" x14ac:dyDescent="0.25">
      <c r="A372" s="424" t="str">
        <f>Лист1!B142</f>
        <v>петля накладная 70 правая</v>
      </c>
      <c r="B372" s="84" t="s">
        <v>82</v>
      </c>
      <c r="C372" s="84">
        <v>84</v>
      </c>
      <c r="D372" s="426">
        <f>Лист1!C142*$A$227</f>
        <v>2.0960000000000001</v>
      </c>
      <c r="E372" s="426">
        <f>Лист1!D142</f>
        <v>26</v>
      </c>
      <c r="F372" s="305">
        <f t="shared" si="15"/>
        <v>54.496000000000002</v>
      </c>
      <c r="G372" s="168"/>
      <c r="H372" s="7"/>
      <c r="I372" s="7"/>
      <c r="J372" s="141"/>
      <c r="K372" s="113"/>
      <c r="L372" s="142"/>
    </row>
    <row r="373" spans="1:12" ht="16.5" x14ac:dyDescent="0.25">
      <c r="A373" s="424" t="str">
        <f>Лист1!B143</f>
        <v>крючок ветровой</v>
      </c>
      <c r="B373" s="84" t="s">
        <v>82</v>
      </c>
      <c r="C373" s="84">
        <v>85</v>
      </c>
      <c r="D373" s="426">
        <f>Лист1!C143*$A$227</f>
        <v>2.0960000000000001</v>
      </c>
      <c r="E373" s="426">
        <f>Лист1!D143</f>
        <v>22</v>
      </c>
      <c r="F373" s="305">
        <f t="shared" si="15"/>
        <v>46.112000000000002</v>
      </c>
      <c r="G373" s="168"/>
      <c r="H373" s="7"/>
      <c r="I373" s="7"/>
      <c r="J373" s="141"/>
      <c r="K373" s="113"/>
      <c r="L373" s="142"/>
    </row>
    <row r="374" spans="1:12" ht="16.5" x14ac:dyDescent="0.25">
      <c r="A374" s="424" t="str">
        <f>Лист1!B144</f>
        <v>ручка-скоба</v>
      </c>
      <c r="B374" s="84" t="s">
        <v>82</v>
      </c>
      <c r="C374" s="84">
        <v>86</v>
      </c>
      <c r="D374" s="426">
        <f>Лист1!C144*$A$227</f>
        <v>0.52400000000000002</v>
      </c>
      <c r="E374" s="426">
        <f>Лист1!D144</f>
        <v>32</v>
      </c>
      <c r="F374" s="305">
        <f t="shared" si="15"/>
        <v>16.768000000000001</v>
      </c>
      <c r="G374" s="168"/>
      <c r="H374" s="7"/>
      <c r="I374" s="7"/>
      <c r="J374" s="141"/>
      <c r="K374" s="113"/>
      <c r="L374" s="142"/>
    </row>
    <row r="375" spans="1:12" ht="16.5" x14ac:dyDescent="0.25">
      <c r="A375" s="424" t="str">
        <f>Лист1!B145</f>
        <v>фанера 10 мм</v>
      </c>
      <c r="B375" s="84" t="s">
        <v>82</v>
      </c>
      <c r="C375" s="84">
        <v>87</v>
      </c>
      <c r="D375" s="426">
        <f>Лист1!C145*$A$227</f>
        <v>1.048</v>
      </c>
      <c r="E375" s="426">
        <f>Лист1!D145</f>
        <v>1475</v>
      </c>
      <c r="F375" s="305">
        <f t="shared" si="15"/>
        <v>1545.8</v>
      </c>
      <c r="G375" s="168"/>
      <c r="H375" s="7"/>
      <c r="I375" s="7"/>
      <c r="J375" s="141"/>
      <c r="K375" s="113"/>
      <c r="L375" s="142"/>
    </row>
    <row r="376" spans="1:12" ht="16.5" x14ac:dyDescent="0.25">
      <c r="A376" s="424" t="str">
        <f>Лист1!B146</f>
        <v>фанера 20 мм</v>
      </c>
      <c r="B376" s="84" t="s">
        <v>82</v>
      </c>
      <c r="C376" s="84">
        <v>88</v>
      </c>
      <c r="D376" s="426">
        <f>Лист1!C146*$A$227</f>
        <v>0.52400000000000002</v>
      </c>
      <c r="E376" s="426">
        <f>Лист1!D146</f>
        <v>2355</v>
      </c>
      <c r="F376" s="305">
        <f t="shared" si="15"/>
        <v>1234.02</v>
      </c>
      <c r="G376" s="168"/>
      <c r="H376" s="7"/>
      <c r="I376" s="7"/>
      <c r="J376" s="141"/>
      <c r="K376" s="115"/>
      <c r="L376" s="142"/>
    </row>
    <row r="377" spans="1:12" ht="16.5" x14ac:dyDescent="0.25">
      <c r="A377" s="424" t="str">
        <f>Лист1!B147</f>
        <v>заглушка торцевая</v>
      </c>
      <c r="B377" s="84" t="s">
        <v>82</v>
      </c>
      <c r="C377" s="84">
        <v>89</v>
      </c>
      <c r="D377" s="426">
        <f>Лист1!C147*$A$227</f>
        <v>2.62</v>
      </c>
      <c r="E377" s="426">
        <f>Лист1!D147</f>
        <v>25</v>
      </c>
      <c r="F377" s="305">
        <f t="shared" si="15"/>
        <v>65.5</v>
      </c>
      <c r="G377" s="168"/>
      <c r="H377" s="7"/>
      <c r="I377" s="7"/>
      <c r="J377" s="141"/>
      <c r="K377" s="115"/>
      <c r="L377" s="142"/>
    </row>
    <row r="378" spans="1:12" ht="16.5" x14ac:dyDescent="0.25">
      <c r="A378" s="424" t="str">
        <f>Лист1!B148</f>
        <v>проступь черная</v>
      </c>
      <c r="B378" s="84" t="s">
        <v>82</v>
      </c>
      <c r="C378" s="84">
        <v>90</v>
      </c>
      <c r="D378" s="426">
        <f>Лист1!C148*$A$227</f>
        <v>0.26200000000000001</v>
      </c>
      <c r="E378" s="426">
        <f>Лист1!D148</f>
        <v>1100</v>
      </c>
      <c r="F378" s="305">
        <f t="shared" si="15"/>
        <v>288.2</v>
      </c>
      <c r="G378" s="168"/>
      <c r="H378" s="7"/>
      <c r="I378" s="7"/>
      <c r="J378" s="141"/>
      <c r="K378" s="115"/>
      <c r="L378" s="142"/>
    </row>
    <row r="379" spans="1:12" ht="16.5" x14ac:dyDescent="0.25">
      <c r="A379" s="424" t="str">
        <f>Лист1!B149</f>
        <v>замок врезной</v>
      </c>
      <c r="B379" s="84" t="s">
        <v>82</v>
      </c>
      <c r="C379" s="84">
        <v>91</v>
      </c>
      <c r="D379" s="426">
        <f>Лист1!C149*$A$227</f>
        <v>1.048</v>
      </c>
      <c r="E379" s="426">
        <f>Лист1!D149</f>
        <v>416</v>
      </c>
      <c r="F379" s="305">
        <f t="shared" si="15"/>
        <v>435.96800000000002</v>
      </c>
      <c r="G379" s="168"/>
      <c r="H379" s="7"/>
      <c r="I379" s="7"/>
      <c r="J379" s="141"/>
      <c r="K379" s="115"/>
      <c r="L379" s="142"/>
    </row>
    <row r="380" spans="1:12" ht="16.5" x14ac:dyDescent="0.25">
      <c r="A380" s="424" t="str">
        <f>Лист1!B150</f>
        <v>диск шлифовальный</v>
      </c>
      <c r="B380" s="84" t="s">
        <v>82</v>
      </c>
      <c r="C380" s="84">
        <v>92</v>
      </c>
      <c r="D380" s="426">
        <f>Лист1!C150*$A$227</f>
        <v>0.26200000000000001</v>
      </c>
      <c r="E380" s="426">
        <f>Лист1!D150</f>
        <v>309</v>
      </c>
      <c r="F380" s="305">
        <f t="shared" si="15"/>
        <v>80.957999999999998</v>
      </c>
      <c r="G380" s="168"/>
      <c r="H380" s="7"/>
      <c r="I380" s="7"/>
      <c r="J380" s="141"/>
      <c r="K380" s="115"/>
      <c r="L380" s="142"/>
    </row>
    <row r="381" spans="1:12" ht="16.5" x14ac:dyDescent="0.25">
      <c r="A381" s="424" t="str">
        <f>Лист1!B151</f>
        <v>порожек стык</v>
      </c>
      <c r="B381" s="84" t="s">
        <v>82</v>
      </c>
      <c r="C381" s="84">
        <v>93</v>
      </c>
      <c r="D381" s="426">
        <f>Лист1!C151*$A$227</f>
        <v>1.5720000000000001</v>
      </c>
      <c r="E381" s="426">
        <f>Лист1!D151</f>
        <v>245</v>
      </c>
      <c r="F381" s="305">
        <f t="shared" si="15"/>
        <v>385.14000000000004</v>
      </c>
      <c r="G381" s="168"/>
      <c r="H381" s="7"/>
      <c r="I381" s="7"/>
      <c r="J381" s="141"/>
      <c r="K381" s="115"/>
      <c r="L381" s="142"/>
    </row>
    <row r="382" spans="1:12" ht="16.5" x14ac:dyDescent="0.25">
      <c r="A382" s="424" t="str">
        <f>Лист1!B152</f>
        <v>порожек стык</v>
      </c>
      <c r="B382" s="84" t="s">
        <v>82</v>
      </c>
      <c r="C382" s="84">
        <v>94</v>
      </c>
      <c r="D382" s="426">
        <f>Лист1!C152*$A$227</f>
        <v>0.78600000000000003</v>
      </c>
      <c r="E382" s="426">
        <f>Лист1!D152</f>
        <v>240</v>
      </c>
      <c r="F382" s="305">
        <f t="shared" si="15"/>
        <v>188.64000000000001</v>
      </c>
      <c r="G382" s="168"/>
      <c r="H382" s="7"/>
      <c r="I382" s="7"/>
      <c r="J382" s="141"/>
      <c r="K382" s="115"/>
      <c r="L382" s="142"/>
    </row>
    <row r="383" spans="1:12" ht="16.5" x14ac:dyDescent="0.25">
      <c r="A383" s="424" t="str">
        <f>Лист1!B153</f>
        <v>грунтовка акрил 5 кг</v>
      </c>
      <c r="B383" s="84" t="s">
        <v>82</v>
      </c>
      <c r="C383" s="84">
        <v>95</v>
      </c>
      <c r="D383" s="426">
        <f>Лист1!C153*$A$227</f>
        <v>0.26200000000000001</v>
      </c>
      <c r="E383" s="426">
        <f>Лист1!D153</f>
        <v>465</v>
      </c>
      <c r="F383" s="305">
        <f t="shared" si="15"/>
        <v>121.83</v>
      </c>
      <c r="G383" s="168"/>
      <c r="H383" s="7"/>
      <c r="I383" s="7"/>
      <c r="J383" s="141"/>
      <c r="K383" s="115"/>
      <c r="L383" s="142"/>
    </row>
    <row r="384" spans="1:12" ht="16.5" x14ac:dyDescent="0.25">
      <c r="A384" s="424" t="str">
        <f>Лист1!B154</f>
        <v>скребок снеговой</v>
      </c>
      <c r="B384" s="84" t="s">
        <v>82</v>
      </c>
      <c r="C384" s="84">
        <v>96</v>
      </c>
      <c r="D384" s="426">
        <f>Лист1!C154*$A$227</f>
        <v>0.26200000000000001</v>
      </c>
      <c r="E384" s="426">
        <f>Лист1!D154</f>
        <v>2100</v>
      </c>
      <c r="F384" s="305">
        <f t="shared" si="15"/>
        <v>550.20000000000005</v>
      </c>
      <c r="G384" s="168"/>
      <c r="H384" s="7"/>
      <c r="I384" s="7"/>
      <c r="J384" s="141"/>
      <c r="K384" s="115"/>
      <c r="L384" s="142"/>
    </row>
    <row r="385" spans="1:12" ht="16.5" x14ac:dyDescent="0.25">
      <c r="A385" s="424" t="str">
        <f>Лист1!B155</f>
        <v>обивка для двери эконом</v>
      </c>
      <c r="B385" s="84" t="s">
        <v>82</v>
      </c>
      <c r="C385" s="84">
        <v>97</v>
      </c>
      <c r="D385" s="426">
        <f>Лист1!C155*$A$227</f>
        <v>1.048</v>
      </c>
      <c r="E385" s="426">
        <f>Лист1!D155</f>
        <v>561</v>
      </c>
      <c r="F385" s="305">
        <f t="shared" si="15"/>
        <v>587.928</v>
      </c>
      <c r="G385" s="168"/>
      <c r="H385" s="7"/>
      <c r="I385" s="7"/>
      <c r="J385" s="141"/>
      <c r="K385" s="115"/>
      <c r="L385" s="142"/>
    </row>
    <row r="386" spans="1:12" ht="16.5" x14ac:dyDescent="0.25">
      <c r="A386" s="424" t="str">
        <f>Лист1!B156</f>
        <v>клей момент-монтаж</v>
      </c>
      <c r="B386" s="84" t="s">
        <v>82</v>
      </c>
      <c r="C386" s="84">
        <v>98</v>
      </c>
      <c r="D386" s="426">
        <f>Лист1!C156*$A$227</f>
        <v>0.52400000000000002</v>
      </c>
      <c r="E386" s="426">
        <f>Лист1!D156</f>
        <v>395</v>
      </c>
      <c r="F386" s="305">
        <f t="shared" si="15"/>
        <v>206.98000000000002</v>
      </c>
      <c r="G386" s="168"/>
      <c r="H386" s="7"/>
      <c r="I386" s="7"/>
      <c r="J386" s="141"/>
      <c r="K386" s="115"/>
      <c r="L386" s="142"/>
    </row>
    <row r="387" spans="1:12" ht="16.5" x14ac:dyDescent="0.25">
      <c r="A387" s="424" t="str">
        <f>Лист1!B157</f>
        <v>кисть акор 38*13</v>
      </c>
      <c r="B387" s="84" t="s">
        <v>82</v>
      </c>
      <c r="C387" s="84">
        <v>99</v>
      </c>
      <c r="D387" s="426">
        <f>Лист1!C157*$A$227</f>
        <v>0.26200000000000001</v>
      </c>
      <c r="E387" s="426">
        <f>Лист1!D157</f>
        <v>50</v>
      </c>
      <c r="F387" s="305">
        <f t="shared" si="15"/>
        <v>13.100000000000001</v>
      </c>
      <c r="G387" s="168"/>
      <c r="H387" s="7"/>
      <c r="I387" s="7"/>
      <c r="J387" s="141"/>
      <c r="K387" s="115"/>
      <c r="L387" s="142"/>
    </row>
    <row r="388" spans="1:12" ht="16.5" x14ac:dyDescent="0.25">
      <c r="A388" s="424" t="str">
        <f>Лист1!B158</f>
        <v>кисть акор 25*10</v>
      </c>
      <c r="B388" s="84" t="s">
        <v>82</v>
      </c>
      <c r="C388" s="84">
        <v>100</v>
      </c>
      <c r="D388" s="426">
        <f>Лист1!C158*$A$227</f>
        <v>0.26200000000000001</v>
      </c>
      <c r="E388" s="426">
        <f>Лист1!D158</f>
        <v>40</v>
      </c>
      <c r="F388" s="305">
        <f t="shared" si="15"/>
        <v>10.48</v>
      </c>
      <c r="G388" s="168"/>
      <c r="H388" s="7"/>
      <c r="I388" s="7"/>
      <c r="J388" s="141"/>
      <c r="K388" s="115"/>
      <c r="L388" s="142"/>
    </row>
    <row r="389" spans="1:12" ht="16.5" x14ac:dyDescent="0.25">
      <c r="A389" s="424" t="str">
        <f>Лист1!B159</f>
        <v>саморез с прессшайбой</v>
      </c>
      <c r="B389" s="84" t="s">
        <v>82</v>
      </c>
      <c r="C389" s="84">
        <v>101</v>
      </c>
      <c r="D389" s="426">
        <f>Лист1!C159*$A$227</f>
        <v>13.100000000000001</v>
      </c>
      <c r="E389" s="426">
        <f>Лист1!D159</f>
        <v>1</v>
      </c>
      <c r="F389" s="305">
        <f t="shared" si="15"/>
        <v>13.100000000000001</v>
      </c>
      <c r="G389" s="168"/>
      <c r="H389" s="7"/>
      <c r="I389" s="7"/>
      <c r="J389" s="141"/>
      <c r="K389" s="115"/>
      <c r="L389" s="142"/>
    </row>
    <row r="390" spans="1:12" ht="16.5" x14ac:dyDescent="0.25">
      <c r="A390" s="424" t="str">
        <f>Лист1!B160</f>
        <v>грунт алк серый 2,1</v>
      </c>
      <c r="B390" s="84" t="s">
        <v>82</v>
      </c>
      <c r="C390" s="84">
        <v>102</v>
      </c>
      <c r="D390" s="426">
        <f>Лист1!C160*$A$227</f>
        <v>0.26200000000000001</v>
      </c>
      <c r="E390" s="426">
        <f>Лист1!D160</f>
        <v>468</v>
      </c>
      <c r="F390" s="305">
        <f t="shared" si="15"/>
        <v>122.616</v>
      </c>
      <c r="G390" s="168"/>
      <c r="H390" s="7"/>
      <c r="I390" s="7"/>
      <c r="J390" s="141"/>
      <c r="K390" s="115"/>
      <c r="L390" s="142"/>
    </row>
    <row r="391" spans="1:12" ht="16.5" x14ac:dyDescent="0.25">
      <c r="A391" s="424" t="str">
        <f>Лист1!B161</f>
        <v>грунт алк серый 1 кг</v>
      </c>
      <c r="B391" s="84" t="s">
        <v>82</v>
      </c>
      <c r="C391" s="84">
        <v>103</v>
      </c>
      <c r="D391" s="426">
        <f>Лист1!C161*$A$227</f>
        <v>0.26200000000000001</v>
      </c>
      <c r="E391" s="426">
        <f>Лист1!D161</f>
        <v>230</v>
      </c>
      <c r="F391" s="305">
        <f t="shared" si="15"/>
        <v>60.260000000000005</v>
      </c>
      <c r="G391" s="168"/>
      <c r="H391" s="7"/>
      <c r="I391" s="7"/>
      <c r="J391" s="141"/>
      <c r="K391" s="115"/>
      <c r="L391" s="142"/>
    </row>
    <row r="392" spans="1:12" ht="16.5" x14ac:dyDescent="0.25">
      <c r="A392" s="424" t="str">
        <f>Лист1!B162</f>
        <v>кисть акор 35*10</v>
      </c>
      <c r="B392" s="84" t="s">
        <v>82</v>
      </c>
      <c r="C392" s="84">
        <v>104</v>
      </c>
      <c r="D392" s="426">
        <f>Лист1!C162*$A$227</f>
        <v>1.048</v>
      </c>
      <c r="E392" s="426">
        <f>Лист1!D162</f>
        <v>40</v>
      </c>
      <c r="F392" s="305">
        <f t="shared" si="15"/>
        <v>41.92</v>
      </c>
      <c r="G392" s="168"/>
      <c r="H392" s="7"/>
      <c r="I392" s="7"/>
      <c r="J392" s="141"/>
      <c r="K392" s="115"/>
      <c r="L392" s="142"/>
    </row>
    <row r="393" spans="1:12" ht="16.5" x14ac:dyDescent="0.25">
      <c r="A393" s="424" t="str">
        <f>Лист1!B163</f>
        <v>растворитель</v>
      </c>
      <c r="B393" s="84" t="s">
        <v>82</v>
      </c>
      <c r="C393" s="84">
        <v>105</v>
      </c>
      <c r="D393" s="426">
        <f>Лист1!C163*$A$227</f>
        <v>0.52400000000000002</v>
      </c>
      <c r="E393" s="426">
        <f>Лист1!D163</f>
        <v>184</v>
      </c>
      <c r="F393" s="305">
        <f t="shared" si="15"/>
        <v>96.415999999999997</v>
      </c>
      <c r="G393" s="168"/>
      <c r="H393" s="7"/>
      <c r="I393" s="7"/>
      <c r="J393" s="141"/>
      <c r="K393" s="115"/>
      <c r="L393" s="142"/>
    </row>
    <row r="394" spans="1:12" ht="16.5" x14ac:dyDescent="0.25">
      <c r="A394" s="424" t="str">
        <f>Лист1!B164</f>
        <v>эмаль пф-115</v>
      </c>
      <c r="B394" s="84" t="s">
        <v>82</v>
      </c>
      <c r="C394" s="84">
        <v>106</v>
      </c>
      <c r="D394" s="426">
        <f>Лист1!C164*$A$227</f>
        <v>0.26200000000000001</v>
      </c>
      <c r="E394" s="426">
        <f>Лист1!D164</f>
        <v>455</v>
      </c>
      <c r="F394" s="305">
        <f t="shared" si="15"/>
        <v>119.21000000000001</v>
      </c>
      <c r="G394" s="168"/>
      <c r="H394" s="7"/>
      <c r="I394" s="7"/>
      <c r="J394" s="141"/>
      <c r="K394" s="115"/>
      <c r="L394" s="142"/>
    </row>
    <row r="395" spans="1:12" ht="16.5" x14ac:dyDescent="0.25">
      <c r="A395" s="424" t="str">
        <f>Лист1!B165</f>
        <v>клей космофен</v>
      </c>
      <c r="B395" s="84" t="s">
        <v>82</v>
      </c>
      <c r="C395" s="84">
        <v>107</v>
      </c>
      <c r="D395" s="426">
        <f>Лист1!C165*$A$227</f>
        <v>0.26200000000000001</v>
      </c>
      <c r="E395" s="426">
        <f>Лист1!D165</f>
        <v>180</v>
      </c>
      <c r="F395" s="305">
        <f t="shared" si="15"/>
        <v>47.160000000000004</v>
      </c>
      <c r="G395" s="168"/>
      <c r="H395" s="7"/>
      <c r="I395" s="7"/>
      <c r="J395" s="141"/>
      <c r="K395" s="115"/>
      <c r="L395" s="142"/>
    </row>
    <row r="396" spans="1:12" ht="16.5" x14ac:dyDescent="0.25">
      <c r="A396" s="424" t="str">
        <f>Лист1!B166</f>
        <v>щетка чашечная 0,3*60</v>
      </c>
      <c r="B396" s="84" t="s">
        <v>82</v>
      </c>
      <c r="C396" s="84">
        <v>108</v>
      </c>
      <c r="D396" s="426">
        <f>Лист1!C166*$A$227</f>
        <v>0.78600000000000003</v>
      </c>
      <c r="E396" s="426">
        <f>Лист1!D166</f>
        <v>259</v>
      </c>
      <c r="F396" s="305">
        <f t="shared" si="15"/>
        <v>203.57400000000001</v>
      </c>
      <c r="G396" s="168"/>
      <c r="H396" s="7"/>
      <c r="I396" s="7"/>
      <c r="J396" s="141"/>
      <c r="K396" s="115"/>
      <c r="L396" s="142"/>
    </row>
    <row r="397" spans="1:12" ht="16.5" x14ac:dyDescent="0.25">
      <c r="A397" s="424" t="str">
        <f>Лист1!B167</f>
        <v>щетка чашечная 0,3*75</v>
      </c>
      <c r="B397" s="84" t="s">
        <v>82</v>
      </c>
      <c r="C397" s="84">
        <v>109</v>
      </c>
      <c r="D397" s="426">
        <f>Лист1!C167*$A$227</f>
        <v>0.52400000000000002</v>
      </c>
      <c r="E397" s="426">
        <f>Лист1!D167</f>
        <v>288</v>
      </c>
      <c r="F397" s="305">
        <f t="shared" si="15"/>
        <v>150.91200000000001</v>
      </c>
      <c r="G397" s="168"/>
      <c r="H397" s="7"/>
      <c r="I397" s="7"/>
      <c r="J397" s="141"/>
      <c r="K397" s="115"/>
      <c r="L397" s="142"/>
    </row>
    <row r="398" spans="1:12" ht="16.5" x14ac:dyDescent="0.25">
      <c r="A398" s="424" t="str">
        <f>Лист1!B168</f>
        <v>угол внутренний, наружный</v>
      </c>
      <c r="B398" s="84" t="s">
        <v>82</v>
      </c>
      <c r="C398" s="84">
        <v>110</v>
      </c>
      <c r="D398" s="426">
        <f>Лист1!C168*$A$227</f>
        <v>5.24</v>
      </c>
      <c r="E398" s="426">
        <f>Лист1!D168</f>
        <v>14.4</v>
      </c>
      <c r="F398" s="305">
        <f t="shared" si="15"/>
        <v>75.456000000000003</v>
      </c>
      <c r="G398" s="168"/>
      <c r="H398" s="7"/>
      <c r="I398" s="7"/>
      <c r="J398" s="141"/>
      <c r="K398" s="115"/>
      <c r="L398" s="142"/>
    </row>
    <row r="399" spans="1:12" ht="16.5" x14ac:dyDescent="0.25">
      <c r="A399" s="424" t="str">
        <f>Лист1!B169</f>
        <v>биты 10 шт</v>
      </c>
      <c r="B399" s="84" t="s">
        <v>82</v>
      </c>
      <c r="C399" s="84">
        <v>111</v>
      </c>
      <c r="D399" s="426">
        <f>Лист1!C169*$A$227</f>
        <v>2.62</v>
      </c>
      <c r="E399" s="426">
        <f>Лист1!D169</f>
        <v>18</v>
      </c>
      <c r="F399" s="305">
        <f t="shared" si="15"/>
        <v>47.160000000000004</v>
      </c>
      <c r="G399" s="168"/>
      <c r="H399" s="7"/>
      <c r="I399" s="7"/>
      <c r="J399" s="141"/>
      <c r="K399" s="115"/>
      <c r="L399" s="142"/>
    </row>
    <row r="400" spans="1:12" ht="16.5" x14ac:dyDescent="0.25">
      <c r="A400" s="424" t="str">
        <f>Лист1!B170</f>
        <v>болт шестигранный</v>
      </c>
      <c r="B400" s="84" t="s">
        <v>82</v>
      </c>
      <c r="C400" s="220"/>
      <c r="D400" s="426">
        <f>Лист1!C170*$A$227</f>
        <v>23.842000000000002</v>
      </c>
      <c r="E400" s="426">
        <f>Лист1!D170</f>
        <v>10</v>
      </c>
      <c r="F400" s="305">
        <f t="shared" si="15"/>
        <v>238.42000000000002</v>
      </c>
      <c r="G400" s="168"/>
      <c r="H400" s="7"/>
      <c r="I400" s="7"/>
      <c r="J400" s="141"/>
      <c r="K400" s="115"/>
      <c r="L400" s="142"/>
    </row>
    <row r="401" spans="1:12" ht="16.5" x14ac:dyDescent="0.25">
      <c r="A401" s="424" t="str">
        <f>Лист1!B171</f>
        <v>гайка шестигранная</v>
      </c>
      <c r="B401" s="84" t="s">
        <v>82</v>
      </c>
      <c r="C401" s="220"/>
      <c r="D401" s="426">
        <f>Лист1!C171*$A$227</f>
        <v>23.842000000000002</v>
      </c>
      <c r="E401" s="426">
        <f>Лист1!D171</f>
        <v>2.5</v>
      </c>
      <c r="F401" s="305">
        <f t="shared" si="15"/>
        <v>59.605000000000004</v>
      </c>
      <c r="G401" s="168"/>
      <c r="H401" s="7"/>
      <c r="I401" s="7"/>
      <c r="J401" s="141"/>
      <c r="K401" s="115"/>
      <c r="L401" s="142"/>
    </row>
    <row r="402" spans="1:12" ht="16.5" x14ac:dyDescent="0.25">
      <c r="A402" s="424" t="str">
        <f>Лист1!B172</f>
        <v>шайба плоская</v>
      </c>
      <c r="B402" s="84" t="s">
        <v>82</v>
      </c>
      <c r="C402" s="220"/>
      <c r="D402" s="426">
        <f>Лист1!C172*$A$227</f>
        <v>47.160000000000004</v>
      </c>
      <c r="E402" s="426">
        <f>Лист1!D172</f>
        <v>2.5</v>
      </c>
      <c r="F402" s="305">
        <f t="shared" si="15"/>
        <v>117.9</v>
      </c>
      <c r="G402" s="168"/>
      <c r="H402" s="7"/>
      <c r="I402" s="7"/>
      <c r="J402" s="141"/>
      <c r="K402" s="115"/>
      <c r="L402" s="142"/>
    </row>
    <row r="403" spans="1:12" ht="16.5" x14ac:dyDescent="0.25">
      <c r="A403" s="424" t="str">
        <f>Лист1!B173</f>
        <v>сверло по металлу</v>
      </c>
      <c r="B403" s="84" t="s">
        <v>82</v>
      </c>
      <c r="C403" s="220"/>
      <c r="D403" s="426">
        <f>Лист1!C173*$A$227</f>
        <v>0.26200000000000001</v>
      </c>
      <c r="E403" s="426">
        <f>Лист1!D173</f>
        <v>320</v>
      </c>
      <c r="F403" s="305">
        <f t="shared" si="15"/>
        <v>83.84</v>
      </c>
      <c r="G403" s="168"/>
      <c r="H403" s="7"/>
      <c r="I403" s="7"/>
      <c r="J403" s="141"/>
      <c r="K403" s="115"/>
      <c r="L403" s="142"/>
    </row>
    <row r="404" spans="1:12" ht="16.5" x14ac:dyDescent="0.25">
      <c r="A404" s="424" t="str">
        <f>Лист1!B174</f>
        <v>винт головка полусфера 5*50</v>
      </c>
      <c r="B404" s="84" t="s">
        <v>82</v>
      </c>
      <c r="C404" s="220"/>
      <c r="D404" s="426">
        <f>Лист1!C174*$A$227</f>
        <v>45.588000000000001</v>
      </c>
      <c r="E404" s="426">
        <f>Лист1!D174</f>
        <v>3</v>
      </c>
      <c r="F404" s="305">
        <f t="shared" si="15"/>
        <v>136.76400000000001</v>
      </c>
      <c r="G404" s="168"/>
      <c r="H404" s="7"/>
      <c r="I404" s="7"/>
      <c r="J404" s="141"/>
      <c r="K404" s="115"/>
      <c r="L404" s="142"/>
    </row>
    <row r="405" spans="1:12" ht="16.5" x14ac:dyDescent="0.25">
      <c r="A405" s="424" t="str">
        <f>Лист1!B175</f>
        <v>винт головка полусфера 5*40</v>
      </c>
      <c r="B405" s="84" t="s">
        <v>82</v>
      </c>
      <c r="C405" s="220"/>
      <c r="D405" s="426">
        <f>Лист1!C175*$A$227</f>
        <v>18.077999999999999</v>
      </c>
      <c r="E405" s="426">
        <f>Лист1!D175</f>
        <v>2.5</v>
      </c>
      <c r="F405" s="305">
        <f t="shared" si="15"/>
        <v>45.195</v>
      </c>
      <c r="G405" s="168"/>
      <c r="H405" s="7"/>
      <c r="I405" s="7"/>
      <c r="J405" s="141"/>
      <c r="K405" s="115"/>
      <c r="L405" s="142"/>
    </row>
    <row r="406" spans="1:12" ht="16.5" x14ac:dyDescent="0.25">
      <c r="A406" s="424" t="str">
        <f>Лист1!B176</f>
        <v>винт головка полусфера 5*40</v>
      </c>
      <c r="B406" s="84" t="s">
        <v>82</v>
      </c>
      <c r="C406" s="220"/>
      <c r="D406" s="426">
        <f>Лист1!C176*$A$227</f>
        <v>18.602</v>
      </c>
      <c r="E406" s="426">
        <f>Лист1!D176</f>
        <v>2</v>
      </c>
      <c r="F406" s="305">
        <f t="shared" si="15"/>
        <v>37.204000000000001</v>
      </c>
      <c r="G406" s="168"/>
      <c r="H406" s="7"/>
      <c r="I406" s="7"/>
      <c r="J406" s="141"/>
      <c r="K406" s="115"/>
      <c r="L406" s="142"/>
    </row>
    <row r="407" spans="1:12" ht="16.5" x14ac:dyDescent="0.25">
      <c r="A407" s="424" t="str">
        <f>Лист1!B177</f>
        <v>сверло по металллу</v>
      </c>
      <c r="B407" s="84" t="s">
        <v>82</v>
      </c>
      <c r="C407" s="220"/>
      <c r="D407" s="426">
        <f>Лист1!C177*$A$227</f>
        <v>1.048</v>
      </c>
      <c r="E407" s="426">
        <f>Лист1!D177</f>
        <v>306</v>
      </c>
      <c r="F407" s="305">
        <f t="shared" si="15"/>
        <v>320.68799999999999</v>
      </c>
      <c r="G407" s="168"/>
      <c r="H407" s="7"/>
      <c r="I407" s="7"/>
      <c r="J407" s="141"/>
      <c r="K407" s="115"/>
      <c r="L407" s="142"/>
    </row>
    <row r="408" spans="1:12" ht="16.5" x14ac:dyDescent="0.25">
      <c r="A408" s="424" t="str">
        <f>Лист1!B178</f>
        <v>сверло по металллу 5*86</v>
      </c>
      <c r="B408" s="84" t="s">
        <v>82</v>
      </c>
      <c r="C408" s="220"/>
      <c r="D408" s="426">
        <f>Лист1!C178*$A$227</f>
        <v>1.048</v>
      </c>
      <c r="E408" s="426">
        <f>Лист1!D178</f>
        <v>235</v>
      </c>
      <c r="F408" s="305">
        <f t="shared" si="15"/>
        <v>246.28</v>
      </c>
      <c r="G408" s="168"/>
      <c r="H408" s="7"/>
      <c r="I408" s="7"/>
      <c r="J408" s="141"/>
      <c r="K408" s="115"/>
      <c r="L408" s="142"/>
    </row>
    <row r="409" spans="1:12" ht="16.5" x14ac:dyDescent="0.25">
      <c r="A409" s="424" t="str">
        <f>Лист1!B179</f>
        <v>петля накладная цинк</v>
      </c>
      <c r="B409" s="84" t="s">
        <v>82</v>
      </c>
      <c r="C409" s="220"/>
      <c r="D409" s="426">
        <f>Лист1!C179*$A$227</f>
        <v>0.52400000000000002</v>
      </c>
      <c r="E409" s="426">
        <f>Лист1!D179</f>
        <v>26</v>
      </c>
      <c r="F409" s="305">
        <f t="shared" si="15"/>
        <v>13.624000000000001</v>
      </c>
      <c r="G409" s="168"/>
      <c r="H409" s="7"/>
      <c r="I409" s="7"/>
      <c r="J409" s="141"/>
      <c r="K409" s="115"/>
      <c r="L409" s="142"/>
    </row>
    <row r="410" spans="1:12" ht="16.5" x14ac:dyDescent="0.25">
      <c r="A410" s="424" t="str">
        <f>Лист1!B180</f>
        <v>гайка со стоп кольцом</v>
      </c>
      <c r="B410" s="84" t="s">
        <v>82</v>
      </c>
      <c r="C410" s="220"/>
      <c r="D410" s="426">
        <f>Лист1!C180*$A$227</f>
        <v>82.268000000000001</v>
      </c>
      <c r="E410" s="426">
        <f>Лист1!D180</f>
        <v>1</v>
      </c>
      <c r="F410" s="305">
        <f t="shared" si="15"/>
        <v>82.268000000000001</v>
      </c>
      <c r="G410" s="168"/>
      <c r="H410" s="7"/>
      <c r="I410" s="7"/>
      <c r="J410" s="141"/>
      <c r="K410" s="115"/>
      <c r="L410" s="142"/>
    </row>
    <row r="411" spans="1:12" ht="16.5" x14ac:dyDescent="0.25">
      <c r="A411" s="424" t="str">
        <f>Лист1!B181</f>
        <v>шайба плоская</v>
      </c>
      <c r="B411" s="84" t="s">
        <v>82</v>
      </c>
      <c r="C411" s="220"/>
      <c r="D411" s="426">
        <f>Лист1!C181*$A$227</f>
        <v>164.536</v>
      </c>
      <c r="E411" s="426">
        <f>Лист1!D181</f>
        <v>1</v>
      </c>
      <c r="F411" s="305">
        <f t="shared" si="15"/>
        <v>164.536</v>
      </c>
      <c r="G411" s="168"/>
      <c r="H411" s="7"/>
      <c r="I411" s="7"/>
      <c r="J411" s="141"/>
      <c r="K411" s="115"/>
      <c r="L411" s="142"/>
    </row>
    <row r="412" spans="1:12" ht="16.5" x14ac:dyDescent="0.25">
      <c r="A412" s="424" t="str">
        <f>Лист1!B182</f>
        <v>сердцевина в замок</v>
      </c>
      <c r="B412" s="84" t="s">
        <v>82</v>
      </c>
      <c r="C412" s="220"/>
      <c r="D412" s="426">
        <f>Лист1!C182*$A$227</f>
        <v>0.52400000000000002</v>
      </c>
      <c r="E412" s="426">
        <f>Лист1!D182</f>
        <v>224</v>
      </c>
      <c r="F412" s="305">
        <f t="shared" si="15"/>
        <v>117.376</v>
      </c>
      <c r="G412" s="168"/>
      <c r="H412" s="7"/>
      <c r="I412" s="7"/>
      <c r="J412" s="141"/>
      <c r="K412" s="115"/>
      <c r="L412" s="142"/>
    </row>
    <row r="413" spans="1:12" ht="16.5" x14ac:dyDescent="0.25">
      <c r="A413" s="424" t="str">
        <f>Лист1!B183</f>
        <v>ограничитель напольный</v>
      </c>
      <c r="B413" s="84" t="s">
        <v>82</v>
      </c>
      <c r="C413" s="220"/>
      <c r="D413" s="426">
        <f>Лист1!C183*$A$227</f>
        <v>0.78600000000000003</v>
      </c>
      <c r="E413" s="426">
        <f>Лист1!D183</f>
        <v>51</v>
      </c>
      <c r="F413" s="305">
        <f t="shared" si="15"/>
        <v>40.085999999999999</v>
      </c>
      <c r="G413" s="168"/>
      <c r="H413" s="7"/>
      <c r="I413" s="7"/>
      <c r="J413" s="141"/>
      <c r="K413" s="115"/>
      <c r="L413" s="142"/>
    </row>
    <row r="414" spans="1:12" ht="16.5" x14ac:dyDescent="0.25">
      <c r="A414" s="424" t="str">
        <f>Лист1!B184</f>
        <v>обивка для двери эконом</v>
      </c>
      <c r="B414" s="84" t="s">
        <v>82</v>
      </c>
      <c r="C414" s="220"/>
      <c r="D414" s="426">
        <f>Лист1!C184*$A$227</f>
        <v>0.26200000000000001</v>
      </c>
      <c r="E414" s="426">
        <f>Лист1!D184</f>
        <v>561</v>
      </c>
      <c r="F414" s="305">
        <f t="shared" si="15"/>
        <v>146.982</v>
      </c>
      <c r="G414" s="168"/>
      <c r="H414" s="7"/>
      <c r="I414" s="7"/>
      <c r="J414" s="141"/>
      <c r="K414" s="115"/>
      <c r="L414" s="142"/>
    </row>
    <row r="415" spans="1:12" ht="16.5" x14ac:dyDescent="0.25">
      <c r="A415" s="424" t="str">
        <f>Лист1!B185</f>
        <v>щетка чашечная 0,3*60</v>
      </c>
      <c r="B415" s="84" t="s">
        <v>82</v>
      </c>
      <c r="C415" s="220"/>
      <c r="D415" s="426">
        <f>Лист1!C185*$A$227</f>
        <v>1.048</v>
      </c>
      <c r="E415" s="426">
        <f>Лист1!D185</f>
        <v>259</v>
      </c>
      <c r="F415" s="305">
        <f t="shared" si="15"/>
        <v>271.43200000000002</v>
      </c>
      <c r="G415" s="168"/>
      <c r="H415" s="7"/>
      <c r="I415" s="7"/>
      <c r="J415" s="141"/>
      <c r="K415" s="115"/>
      <c r="L415" s="142"/>
    </row>
    <row r="416" spans="1:12" ht="16.5" x14ac:dyDescent="0.25">
      <c r="A416" s="424" t="str">
        <f>Лист1!B186</f>
        <v>саморез с прессшайбой</v>
      </c>
      <c r="B416" s="84" t="s">
        <v>82</v>
      </c>
      <c r="C416" s="220"/>
      <c r="D416" s="426">
        <f>Лист1!C186*$A$227</f>
        <v>7.86</v>
      </c>
      <c r="E416" s="426">
        <f>Лист1!D186</f>
        <v>1</v>
      </c>
      <c r="F416" s="305">
        <f t="shared" si="15"/>
        <v>7.86</v>
      </c>
      <c r="G416" s="168"/>
      <c r="H416" s="7"/>
      <c r="I416" s="7"/>
      <c r="J416" s="141"/>
      <c r="K416" s="115"/>
      <c r="L416" s="142"/>
    </row>
    <row r="417" spans="1:12" ht="16.5" x14ac:dyDescent="0.25">
      <c r="A417" s="424" t="str">
        <f>Лист1!B187</f>
        <v>звонок беспроводной</v>
      </c>
      <c r="B417" s="84" t="s">
        <v>82</v>
      </c>
      <c r="C417" s="246"/>
      <c r="D417" s="426">
        <f>Лист1!C187*$A$227</f>
        <v>0.26200000000000001</v>
      </c>
      <c r="E417" s="426">
        <f>Лист1!D187</f>
        <v>1111</v>
      </c>
      <c r="F417" s="305">
        <f t="shared" si="15"/>
        <v>291.08199999999999</v>
      </c>
      <c r="G417" s="168"/>
      <c r="H417" s="7"/>
      <c r="I417" s="7"/>
      <c r="J417" s="141"/>
      <c r="K417" s="115"/>
      <c r="L417" s="142"/>
    </row>
    <row r="418" spans="1:12" ht="16.5" x14ac:dyDescent="0.25">
      <c r="A418" s="424" t="str">
        <f>Лист1!B188</f>
        <v>кисть акор 75*12</v>
      </c>
      <c r="B418" s="84" t="s">
        <v>82</v>
      </c>
      <c r="C418" s="246"/>
      <c r="D418" s="426">
        <f>Лист1!C188*$A$227</f>
        <v>0.26200000000000001</v>
      </c>
      <c r="E418" s="426">
        <f>Лист1!D188</f>
        <v>63</v>
      </c>
      <c r="F418" s="305">
        <f t="shared" si="15"/>
        <v>16.506</v>
      </c>
      <c r="G418" s="168"/>
      <c r="H418" s="7"/>
      <c r="I418" s="7"/>
      <c r="J418" s="141"/>
      <c r="K418" s="115"/>
      <c r="L418" s="142"/>
    </row>
    <row r="419" spans="1:12" ht="16.5" x14ac:dyDescent="0.25">
      <c r="A419" s="424" t="str">
        <f>Лист1!B189</f>
        <v>кисть акор 50*10</v>
      </c>
      <c r="B419" s="84" t="s">
        <v>82</v>
      </c>
      <c r="C419" s="246"/>
      <c r="D419" s="426">
        <f>Лист1!C189*$A$227</f>
        <v>0.26200000000000001</v>
      </c>
      <c r="E419" s="426">
        <f>Лист1!D189</f>
        <v>39</v>
      </c>
      <c r="F419" s="305">
        <f t="shared" si="15"/>
        <v>10.218</v>
      </c>
      <c r="G419" s="168"/>
      <c r="H419" s="7"/>
      <c r="I419" s="7"/>
      <c r="J419" s="141"/>
      <c r="K419" s="115"/>
      <c r="L419" s="142"/>
    </row>
    <row r="420" spans="1:12" ht="16.5" x14ac:dyDescent="0.25">
      <c r="A420" s="424" t="str">
        <f>Лист1!B190</f>
        <v>клей момент-монтаж</v>
      </c>
      <c r="B420" s="84" t="s">
        <v>82</v>
      </c>
      <c r="C420" s="246"/>
      <c r="D420" s="426">
        <f>Лист1!C190*$A$227</f>
        <v>4.4540000000000006</v>
      </c>
      <c r="E420" s="426">
        <f>Лист1!D190</f>
        <v>395</v>
      </c>
      <c r="F420" s="305">
        <f t="shared" si="15"/>
        <v>1759.3300000000002</v>
      </c>
      <c r="G420" s="168"/>
      <c r="H420" s="7"/>
      <c r="I420" s="7"/>
      <c r="J420" s="141"/>
      <c r="K420" s="115"/>
      <c r="L420" s="142"/>
    </row>
    <row r="421" spans="1:12" ht="16.5" x14ac:dyDescent="0.25">
      <c r="A421" s="424" t="str">
        <f>Лист1!B191</f>
        <v>эмаль-аэрозоль</v>
      </c>
      <c r="B421" s="84" t="s">
        <v>82</v>
      </c>
      <c r="C421" s="246"/>
      <c r="D421" s="426">
        <f>Лист1!C191*$A$227</f>
        <v>1.8340000000000001</v>
      </c>
      <c r="E421" s="426">
        <f>Лист1!D191</f>
        <v>215</v>
      </c>
      <c r="F421" s="305">
        <f t="shared" si="15"/>
        <v>394.31</v>
      </c>
      <c r="G421" s="168"/>
      <c r="H421" s="7"/>
      <c r="I421" s="7"/>
      <c r="J421" s="141"/>
      <c r="K421" s="115"/>
      <c r="L421" s="142"/>
    </row>
    <row r="422" spans="1:12" ht="16.5" x14ac:dyDescent="0.25">
      <c r="A422" s="424" t="str">
        <f>Лист1!B192</f>
        <v>аквалазурь</v>
      </c>
      <c r="B422" s="84" t="s">
        <v>82</v>
      </c>
      <c r="C422" s="246"/>
      <c r="D422" s="426">
        <f>Лист1!C192*$A$227</f>
        <v>0.26200000000000001</v>
      </c>
      <c r="E422" s="426">
        <f>Лист1!D192</f>
        <v>450</v>
      </c>
      <c r="F422" s="305">
        <f t="shared" si="15"/>
        <v>117.9</v>
      </c>
      <c r="G422" s="168"/>
      <c r="H422" s="7"/>
      <c r="I422" s="7"/>
      <c r="J422" s="141"/>
      <c r="K422" s="115"/>
      <c r="L422" s="142"/>
    </row>
    <row r="423" spans="1:12" ht="16.5" x14ac:dyDescent="0.25">
      <c r="A423" s="424" t="str">
        <f>Лист1!B193</f>
        <v>кисть акор 50*14</v>
      </c>
      <c r="B423" s="84" t="s">
        <v>82</v>
      </c>
      <c r="C423" s="246"/>
      <c r="D423" s="426">
        <f>Лист1!C193*$A$227</f>
        <v>0.26200000000000001</v>
      </c>
      <c r="E423" s="426">
        <f>Лист1!D193</f>
        <v>68</v>
      </c>
      <c r="F423" s="305">
        <f t="shared" si="15"/>
        <v>17.816000000000003</v>
      </c>
      <c r="G423" s="168"/>
      <c r="H423" s="7"/>
      <c r="I423" s="7"/>
      <c r="J423" s="141"/>
      <c r="K423" s="115"/>
      <c r="L423" s="142"/>
    </row>
    <row r="424" spans="1:12" ht="16.5" x14ac:dyDescent="0.25">
      <c r="A424" s="424" t="str">
        <f>Лист1!B194</f>
        <v>кисть акор 25*10</v>
      </c>
      <c r="B424" s="84" t="s">
        <v>82</v>
      </c>
      <c r="C424" s="246"/>
      <c r="D424" s="426">
        <f>Лист1!C194*$A$227</f>
        <v>0.26200000000000001</v>
      </c>
      <c r="E424" s="426">
        <f>Лист1!D194</f>
        <v>40</v>
      </c>
      <c r="F424" s="305">
        <f t="shared" si="15"/>
        <v>10.48</v>
      </c>
      <c r="G424" s="168"/>
      <c r="H424" s="7"/>
      <c r="I424" s="7"/>
      <c r="J424" s="141"/>
      <c r="K424" s="115"/>
      <c r="L424" s="142"/>
    </row>
    <row r="425" spans="1:12" ht="16.5" x14ac:dyDescent="0.25">
      <c r="A425" s="424" t="str">
        <f>Лист1!B195</f>
        <v>шуруп кольцо</v>
      </c>
      <c r="B425" s="84" t="s">
        <v>82</v>
      </c>
      <c r="C425" s="246"/>
      <c r="D425" s="426">
        <f>Лист1!C195*$A$227</f>
        <v>0.52400000000000002</v>
      </c>
      <c r="E425" s="426">
        <f>Лист1!D195</f>
        <v>47</v>
      </c>
      <c r="F425" s="305">
        <f t="shared" si="15"/>
        <v>24.628</v>
      </c>
      <c r="G425" s="168"/>
      <c r="H425" s="7"/>
      <c r="I425" s="7"/>
      <c r="J425" s="141"/>
      <c r="K425" s="115"/>
      <c r="L425" s="142"/>
    </row>
    <row r="426" spans="1:12" ht="16.5" x14ac:dyDescent="0.25">
      <c r="A426" s="424" t="str">
        <f>Лист1!B196</f>
        <v>болт шестигранник</v>
      </c>
      <c r="B426" s="84" t="s">
        <v>82</v>
      </c>
      <c r="C426" s="246"/>
      <c r="D426" s="426">
        <f>Лист1!C196*$A$227</f>
        <v>2.62</v>
      </c>
      <c r="E426" s="426">
        <f>Лист1!D196</f>
        <v>7</v>
      </c>
      <c r="F426" s="305">
        <f t="shared" si="15"/>
        <v>18.34</v>
      </c>
      <c r="G426" s="168"/>
      <c r="H426" s="7"/>
      <c r="I426" s="7"/>
      <c r="J426" s="141"/>
      <c r="K426" s="115"/>
      <c r="L426" s="142"/>
    </row>
    <row r="427" spans="1:12" ht="16.5" x14ac:dyDescent="0.25">
      <c r="A427" s="424" t="str">
        <f>Лист1!B197</f>
        <v>клей монтажный</v>
      </c>
      <c r="B427" s="84" t="s">
        <v>82</v>
      </c>
      <c r="C427" s="246"/>
      <c r="D427" s="426">
        <f>Лист1!C197*$A$227</f>
        <v>1.5720000000000001</v>
      </c>
      <c r="E427" s="426">
        <f>Лист1!D197</f>
        <v>185</v>
      </c>
      <c r="F427" s="305">
        <f t="shared" si="15"/>
        <v>290.82</v>
      </c>
      <c r="G427" s="168"/>
      <c r="H427" s="7"/>
      <c r="I427" s="7"/>
      <c r="J427" s="141"/>
      <c r="K427" s="115"/>
      <c r="L427" s="142"/>
    </row>
    <row r="428" spans="1:12" ht="16.5" x14ac:dyDescent="0.25">
      <c r="A428" s="424" t="str">
        <f>Лист1!B198</f>
        <v>лопата снеговая</v>
      </c>
      <c r="B428" s="84" t="s">
        <v>82</v>
      </c>
      <c r="C428" s="246"/>
      <c r="D428" s="426">
        <f>Лист1!C198*$A$227</f>
        <v>0.26200000000000001</v>
      </c>
      <c r="E428" s="426">
        <f>Лист1!D198</f>
        <v>250</v>
      </c>
      <c r="F428" s="305">
        <f t="shared" si="15"/>
        <v>65.5</v>
      </c>
      <c r="G428" s="168"/>
      <c r="H428" s="7"/>
      <c r="I428" s="7"/>
      <c r="J428" s="141"/>
      <c r="K428" s="115"/>
      <c r="L428" s="142"/>
    </row>
    <row r="429" spans="1:12" ht="16.5" x14ac:dyDescent="0.25">
      <c r="A429" s="424" t="str">
        <f>Лист1!B199</f>
        <v>универсальный колер</v>
      </c>
      <c r="B429" s="84" t="s">
        <v>82</v>
      </c>
      <c r="C429" s="246"/>
      <c r="D429" s="426">
        <f>Лист1!C199*$A$227</f>
        <v>0.78600000000000003</v>
      </c>
      <c r="E429" s="426">
        <f>Лист1!D199</f>
        <v>175</v>
      </c>
      <c r="F429" s="305">
        <f t="shared" si="15"/>
        <v>137.55000000000001</v>
      </c>
      <c r="G429" s="168"/>
      <c r="H429" s="7"/>
      <c r="I429" s="7"/>
      <c r="J429" s="141"/>
      <c r="K429" s="115"/>
      <c r="L429" s="142"/>
    </row>
    <row r="430" spans="1:12" ht="16.5" x14ac:dyDescent="0.25">
      <c r="A430" s="424" t="str">
        <f>Лист1!B200</f>
        <v>паста колеровочная</v>
      </c>
      <c r="B430" s="84" t="s">
        <v>82</v>
      </c>
      <c r="C430" s="246"/>
      <c r="D430" s="426">
        <f>Лист1!C200*$A$227</f>
        <v>0.26200000000000001</v>
      </c>
      <c r="E430" s="426">
        <f>Лист1!D200</f>
        <v>56</v>
      </c>
      <c r="F430" s="305">
        <f t="shared" si="15"/>
        <v>14.672000000000001</v>
      </c>
      <c r="G430" s="168"/>
      <c r="H430" s="7"/>
      <c r="I430" s="7"/>
      <c r="J430" s="141"/>
      <c r="K430" s="115"/>
      <c r="L430" s="142"/>
    </row>
    <row r="431" spans="1:12" ht="16.5" x14ac:dyDescent="0.25">
      <c r="A431" s="424" t="str">
        <f>Лист1!B201</f>
        <v>клей момент-монтаж</v>
      </c>
      <c r="B431" s="84" t="s">
        <v>82</v>
      </c>
      <c r="C431" s="246"/>
      <c r="D431" s="426">
        <f>Лист1!C201*$A$227</f>
        <v>0.52400000000000002</v>
      </c>
      <c r="E431" s="426">
        <f>Лист1!D201</f>
        <v>355</v>
      </c>
      <c r="F431" s="305">
        <f t="shared" si="15"/>
        <v>186.02</v>
      </c>
      <c r="G431" s="168"/>
      <c r="H431" s="7"/>
      <c r="I431" s="7"/>
      <c r="J431" s="141"/>
      <c r="K431" s="115"/>
      <c r="L431" s="142"/>
    </row>
    <row r="432" spans="1:12" ht="16.5" x14ac:dyDescent="0.25">
      <c r="A432" s="424" t="str">
        <f>Лист1!B202</f>
        <v>ГСМ УАЗ (Масло двигатель)</v>
      </c>
      <c r="B432" s="84" t="s">
        <v>82</v>
      </c>
      <c r="C432" s="246"/>
      <c r="D432" s="426">
        <f>Лист1!C202*$A$227</f>
        <v>0</v>
      </c>
      <c r="E432" s="426">
        <f>Лист1!D202</f>
        <v>400</v>
      </c>
      <c r="F432" s="305">
        <f t="shared" ref="F432:F457" si="16">D432*E432</f>
        <v>0</v>
      </c>
      <c r="G432" s="168"/>
      <c r="H432" s="7"/>
      <c r="I432" s="7"/>
      <c r="J432" s="141"/>
      <c r="K432" s="115"/>
      <c r="L432" s="142"/>
    </row>
    <row r="433" spans="1:12" ht="16.5" x14ac:dyDescent="0.25">
      <c r="A433" s="424" t="str">
        <f>Лист1!B203</f>
        <v>Чернила Canon 135 мл черные</v>
      </c>
      <c r="B433" s="84" t="s">
        <v>82</v>
      </c>
      <c r="C433" s="246"/>
      <c r="D433" s="426">
        <f>Лист1!C203*$A$227</f>
        <v>0.78600000000000003</v>
      </c>
      <c r="E433" s="426">
        <f>Лист1!D203</f>
        <v>1100</v>
      </c>
      <c r="F433" s="305">
        <f t="shared" si="16"/>
        <v>864.6</v>
      </c>
      <c r="G433" s="168"/>
      <c r="H433" s="7"/>
      <c r="I433" s="7"/>
      <c r="J433" s="141"/>
      <c r="K433" s="115"/>
      <c r="L433" s="142"/>
    </row>
    <row r="434" spans="1:12" ht="16.5" x14ac:dyDescent="0.25">
      <c r="A434" s="424" t="str">
        <f>Лист1!B204</f>
        <v>Чернила Canon 70 мл голубые</v>
      </c>
      <c r="B434" s="84" t="s">
        <v>82</v>
      </c>
      <c r="C434" s="220"/>
      <c r="D434" s="426">
        <f>Лист1!C204*$A$227</f>
        <v>0.78600000000000003</v>
      </c>
      <c r="E434" s="426">
        <f>Лист1!D204</f>
        <v>1100</v>
      </c>
      <c r="F434" s="305">
        <f t="shared" si="16"/>
        <v>864.6</v>
      </c>
      <c r="G434" s="168"/>
      <c r="H434" s="7"/>
      <c r="I434" s="7"/>
      <c r="J434" s="141"/>
      <c r="K434" s="115"/>
      <c r="L434" s="142"/>
    </row>
    <row r="435" spans="1:12" ht="16.5" x14ac:dyDescent="0.25">
      <c r="A435" s="424" t="str">
        <f>Лист1!B205</f>
        <v>Чернила Canon 70 мл урпур</v>
      </c>
      <c r="B435" s="84" t="s">
        <v>82</v>
      </c>
      <c r="C435" s="220"/>
      <c r="D435" s="426">
        <f>Лист1!C205*$A$227</f>
        <v>0.78600000000000003</v>
      </c>
      <c r="E435" s="426">
        <f>Лист1!D205</f>
        <v>1100</v>
      </c>
      <c r="F435" s="305">
        <f t="shared" si="16"/>
        <v>864.6</v>
      </c>
      <c r="G435" s="168"/>
      <c r="H435" s="7"/>
      <c r="I435" s="7"/>
      <c r="J435" s="141"/>
      <c r="K435" s="115"/>
      <c r="L435" s="142"/>
    </row>
    <row r="436" spans="1:12" ht="16.5" x14ac:dyDescent="0.25">
      <c r="A436" s="424" t="str">
        <f>Лист1!B206</f>
        <v>Чернила Canon 70 мл желтые</v>
      </c>
      <c r="B436" s="84" t="s">
        <v>82</v>
      </c>
      <c r="C436" s="220"/>
      <c r="D436" s="426">
        <f>Лист1!C206*$A$227</f>
        <v>0.78600000000000003</v>
      </c>
      <c r="E436" s="426">
        <f>Лист1!D206</f>
        <v>1100</v>
      </c>
      <c r="F436" s="305">
        <f t="shared" si="16"/>
        <v>864.6</v>
      </c>
      <c r="G436" s="168"/>
      <c r="H436" s="7"/>
      <c r="I436" s="7"/>
      <c r="J436" s="141"/>
      <c r="K436" s="115"/>
      <c r="L436" s="142"/>
    </row>
    <row r="437" spans="1:12" ht="16.5" x14ac:dyDescent="0.25">
      <c r="A437" s="424" t="str">
        <f>Лист1!B207</f>
        <v>батарейка ААА</v>
      </c>
      <c r="B437" s="84" t="s">
        <v>82</v>
      </c>
      <c r="C437" s="220"/>
      <c r="D437" s="426">
        <f>Лист1!C207*$A$227</f>
        <v>26.200000000000003</v>
      </c>
      <c r="E437" s="426">
        <f>Лист1!D207</f>
        <v>50</v>
      </c>
      <c r="F437" s="305">
        <f t="shared" si="16"/>
        <v>1310.0000000000002</v>
      </c>
      <c r="G437" s="168"/>
      <c r="H437" s="7"/>
      <c r="I437" s="7"/>
      <c r="J437" s="141"/>
      <c r="K437" s="115"/>
      <c r="L437" s="142"/>
    </row>
    <row r="438" spans="1:12" ht="16.5" x14ac:dyDescent="0.25">
      <c r="A438" s="424" t="str">
        <f>Лист1!B208</f>
        <v>батарейка АА</v>
      </c>
      <c r="B438" s="84" t="s">
        <v>82</v>
      </c>
      <c r="C438" s="220"/>
      <c r="D438" s="426">
        <f>Лист1!C208*$A$227</f>
        <v>26.200000000000003</v>
      </c>
      <c r="E438" s="426">
        <f>Лист1!D208</f>
        <v>60</v>
      </c>
      <c r="F438" s="305">
        <f t="shared" si="16"/>
        <v>1572.0000000000002</v>
      </c>
      <c r="G438" s="168"/>
      <c r="H438" s="7"/>
      <c r="I438" s="7"/>
      <c r="J438" s="141"/>
      <c r="K438" s="115"/>
      <c r="L438" s="142"/>
    </row>
    <row r="439" spans="1:12" ht="16.5" x14ac:dyDescent="0.25">
      <c r="A439" s="424" t="str">
        <f>Лист1!B209</f>
        <v>ГСМ Бензин</v>
      </c>
      <c r="B439" s="84" t="s">
        <v>82</v>
      </c>
      <c r="C439" s="220"/>
      <c r="D439" s="426">
        <f>Лист1!C209*$A$227</f>
        <v>524</v>
      </c>
      <c r="E439" s="426">
        <f>Лист1!D209</f>
        <v>49.33</v>
      </c>
      <c r="F439" s="305">
        <f t="shared" si="16"/>
        <v>25848.92</v>
      </c>
      <c r="G439" s="168"/>
      <c r="H439" s="7"/>
      <c r="I439" s="7"/>
      <c r="J439" s="141"/>
      <c r="K439" s="115"/>
      <c r="L439" s="142"/>
    </row>
    <row r="440" spans="1:12" ht="16.5" x14ac:dyDescent="0.25">
      <c r="A440" s="424" t="str">
        <f>Лист1!B210</f>
        <v>ГСМ Бензин</v>
      </c>
      <c r="B440" s="84" t="s">
        <v>82</v>
      </c>
      <c r="C440" s="220"/>
      <c r="D440" s="426">
        <f>Лист1!C210*$A$227</f>
        <v>26.200000000000003</v>
      </c>
      <c r="E440" s="426">
        <f>Лист1!D210</f>
        <v>43.436</v>
      </c>
      <c r="F440" s="305">
        <f t="shared" si="16"/>
        <v>1138.0232000000001</v>
      </c>
      <c r="G440" s="168"/>
      <c r="H440" s="7"/>
      <c r="I440" s="7"/>
      <c r="J440" s="141"/>
      <c r="K440" s="115"/>
      <c r="L440" s="142"/>
    </row>
    <row r="441" spans="1:12" ht="14.25" customHeight="1" x14ac:dyDescent="0.25">
      <c r="A441" s="424" t="str">
        <f>Лист1!B211</f>
        <v>Профиль металлический</v>
      </c>
      <c r="B441" s="84" t="s">
        <v>82</v>
      </c>
      <c r="C441" s="220"/>
      <c r="D441" s="426">
        <f>Лист1!C211*$A$227</f>
        <v>1.31</v>
      </c>
      <c r="E441" s="426">
        <f>Лист1!D211</f>
        <v>2200</v>
      </c>
      <c r="F441" s="305">
        <f t="shared" si="16"/>
        <v>2882</v>
      </c>
      <c r="G441" s="168"/>
      <c r="H441" s="7"/>
      <c r="I441" s="7"/>
      <c r="J441" s="141"/>
      <c r="K441" s="115"/>
      <c r="L441" s="142"/>
    </row>
    <row r="442" spans="1:12" ht="14.25" customHeight="1" x14ac:dyDescent="0.25">
      <c r="A442" s="424" t="str">
        <f>Лист1!B212</f>
        <v>Цемент</v>
      </c>
      <c r="B442" s="84" t="s">
        <v>82</v>
      </c>
      <c r="C442" s="220"/>
      <c r="D442" s="426">
        <f>Лист1!C212*$A$227</f>
        <v>0.52400000000000002</v>
      </c>
      <c r="E442" s="426">
        <f>Лист1!D212</f>
        <v>900</v>
      </c>
      <c r="F442" s="305">
        <f t="shared" si="16"/>
        <v>471.6</v>
      </c>
      <c r="G442" s="168"/>
      <c r="H442" s="7"/>
      <c r="I442" s="7"/>
      <c r="J442" s="141"/>
      <c r="K442" s="115"/>
      <c r="L442" s="142"/>
    </row>
    <row r="443" spans="1:12" ht="14.25" customHeight="1" x14ac:dyDescent="0.25">
      <c r="A443" s="424" t="str">
        <f>Лист1!B213</f>
        <v>Саморезы</v>
      </c>
      <c r="B443" s="84" t="s">
        <v>82</v>
      </c>
      <c r="C443" s="220"/>
      <c r="D443" s="426">
        <f>Лист1!C213*$A$227</f>
        <v>0.26200000000000001</v>
      </c>
      <c r="E443" s="426">
        <f>Лист1!D213</f>
        <v>2000</v>
      </c>
      <c r="F443" s="305">
        <f t="shared" si="16"/>
        <v>524</v>
      </c>
      <c r="G443" s="168"/>
      <c r="H443" s="7"/>
      <c r="I443" s="7"/>
      <c r="J443" s="141"/>
      <c r="K443" s="115"/>
      <c r="L443" s="142"/>
    </row>
    <row r="444" spans="1:12" ht="14.25" customHeight="1" x14ac:dyDescent="0.25">
      <c r="A444" s="424" t="str">
        <f>Лист1!B214</f>
        <v>Фанера 10 мм</v>
      </c>
      <c r="B444" s="84" t="s">
        <v>82</v>
      </c>
      <c r="C444" s="220"/>
      <c r="D444" s="426">
        <f>Лист1!C214*$A$227</f>
        <v>1.5720000000000001</v>
      </c>
      <c r="E444" s="426">
        <f>Лист1!D214</f>
        <v>1450</v>
      </c>
      <c r="F444" s="305">
        <f t="shared" si="16"/>
        <v>2279.4</v>
      </c>
      <c r="G444" s="168"/>
      <c r="H444" s="7"/>
      <c r="I444" s="7"/>
      <c r="J444" s="141"/>
      <c r="K444" s="115"/>
      <c r="L444" s="142"/>
    </row>
    <row r="445" spans="1:12" ht="14.25" customHeight="1" x14ac:dyDescent="0.25">
      <c r="A445" s="424" t="str">
        <f>Лист1!B215</f>
        <v>Перчатки, мешки</v>
      </c>
      <c r="B445" s="84" t="s">
        <v>82</v>
      </c>
      <c r="C445" s="220"/>
      <c r="D445" s="426">
        <f>Лист1!C215*$A$227</f>
        <v>0.26200000000000001</v>
      </c>
      <c r="E445" s="426">
        <f>Лист1!D215</f>
        <v>1900</v>
      </c>
      <c r="F445" s="305">
        <f t="shared" si="16"/>
        <v>497.8</v>
      </c>
      <c r="G445" s="168"/>
      <c r="H445" s="7"/>
      <c r="I445" s="7"/>
      <c r="J445" s="141"/>
      <c r="K445" s="115"/>
      <c r="L445" s="142"/>
    </row>
    <row r="446" spans="1:12" ht="14.25" customHeight="1" x14ac:dyDescent="0.25">
      <c r="A446" s="424" t="str">
        <f>Лист1!B216</f>
        <v>Краска акриловая 10 л</v>
      </c>
      <c r="B446" s="84" t="s">
        <v>82</v>
      </c>
      <c r="C446" s="220"/>
      <c r="D446" s="426">
        <f>Лист1!C216*$A$227</f>
        <v>0.52400000000000002</v>
      </c>
      <c r="E446" s="426">
        <f>Лист1!D216</f>
        <v>1500</v>
      </c>
      <c r="F446" s="305">
        <f t="shared" si="16"/>
        <v>786</v>
      </c>
      <c r="G446" s="168"/>
      <c r="H446" s="7"/>
      <c r="I446" s="7"/>
      <c r="J446" s="141"/>
      <c r="K446" s="115"/>
      <c r="L446" s="142"/>
    </row>
    <row r="447" spans="1:12" ht="14.25" customHeight="1" x14ac:dyDescent="0.25">
      <c r="A447" s="424" t="str">
        <f>Лист1!B217</f>
        <v>Колер для акриловой краски в ассортименте</v>
      </c>
      <c r="B447" s="84" t="s">
        <v>82</v>
      </c>
      <c r="C447" s="220"/>
      <c r="D447" s="426">
        <f>Лист1!C217*$A$227</f>
        <v>2.62</v>
      </c>
      <c r="E447" s="426">
        <f>Лист1!D217</f>
        <v>100</v>
      </c>
      <c r="F447" s="305">
        <f t="shared" si="16"/>
        <v>262</v>
      </c>
      <c r="G447" s="168"/>
      <c r="H447" s="7"/>
      <c r="I447" s="7"/>
      <c r="J447" s="141"/>
      <c r="K447" s="115"/>
      <c r="L447" s="142"/>
    </row>
    <row r="448" spans="1:12" ht="14.25" customHeight="1" x14ac:dyDescent="0.25">
      <c r="A448" s="424" t="str">
        <f>Лист1!B218</f>
        <v>Сверла, лезвия для лобзика</v>
      </c>
      <c r="B448" s="84" t="s">
        <v>82</v>
      </c>
      <c r="C448" s="220"/>
      <c r="D448" s="426">
        <f>Лист1!C218*$A$227</f>
        <v>0.26200000000000001</v>
      </c>
      <c r="E448" s="426">
        <f>Лист1!D218</f>
        <v>2000</v>
      </c>
      <c r="F448" s="305">
        <f t="shared" si="16"/>
        <v>524</v>
      </c>
      <c r="G448" s="168"/>
      <c r="H448" s="7"/>
      <c r="I448" s="7"/>
      <c r="J448" s="141"/>
      <c r="K448" s="115"/>
      <c r="L448" s="142"/>
    </row>
    <row r="449" spans="1:12" ht="14.25" customHeight="1" x14ac:dyDescent="0.25">
      <c r="A449" s="424" t="str">
        <f>Лист1!B219</f>
        <v>Кабель бабина витая пара UTP, 4 пары Cat.5e outdoor (305 м)</v>
      </c>
      <c r="B449" s="84" t="s">
        <v>82</v>
      </c>
      <c r="C449" s="220"/>
      <c r="D449" s="426">
        <f>Лист1!C219*$A$227</f>
        <v>0.52400000000000002</v>
      </c>
      <c r="E449" s="426">
        <f>Лист1!D219</f>
        <v>8400</v>
      </c>
      <c r="F449" s="305">
        <f t="shared" si="16"/>
        <v>4401.6000000000004</v>
      </c>
      <c r="G449" s="168"/>
      <c r="H449" s="7"/>
      <c r="I449" s="7"/>
      <c r="J449" s="141"/>
      <c r="K449" s="115"/>
      <c r="L449" s="142"/>
    </row>
    <row r="450" spans="1:12" ht="14.25" customHeight="1" x14ac:dyDescent="0.25">
      <c r="A450" s="424" t="str">
        <f>Лист1!B220</f>
        <v>кабель витая пара</v>
      </c>
      <c r="B450" s="84" t="s">
        <v>82</v>
      </c>
      <c r="C450" s="220"/>
      <c r="D450" s="426">
        <f>Лист1!C220*$A$227</f>
        <v>0.52400000000000002</v>
      </c>
      <c r="E450" s="426">
        <f>Лист1!D220</f>
        <v>8400</v>
      </c>
      <c r="F450" s="305">
        <f t="shared" si="16"/>
        <v>4401.6000000000004</v>
      </c>
      <c r="G450" s="168"/>
      <c r="H450" s="7"/>
      <c r="I450" s="7"/>
      <c r="J450" s="141"/>
      <c r="K450" s="115"/>
      <c r="L450" s="142"/>
    </row>
    <row r="451" spans="1:12" ht="14.25" customHeight="1" x14ac:dyDescent="0.25">
      <c r="A451" s="424" t="str">
        <f>Лист1!B221</f>
        <v>Коннектор</v>
      </c>
      <c r="B451" s="84" t="s">
        <v>82</v>
      </c>
      <c r="C451" s="220"/>
      <c r="D451" s="426">
        <f>Лист1!C221*$A$227</f>
        <v>0.26200000000000001</v>
      </c>
      <c r="E451" s="426">
        <f>Лист1!D221</f>
        <v>754</v>
      </c>
      <c r="F451" s="305">
        <f t="shared" si="16"/>
        <v>197.548</v>
      </c>
      <c r="G451" s="168"/>
      <c r="H451" s="7"/>
      <c r="I451" s="7"/>
      <c r="J451" s="141"/>
      <c r="K451" s="115"/>
      <c r="L451" s="142"/>
    </row>
    <row r="452" spans="1:12" ht="14.25" customHeight="1" x14ac:dyDescent="0.25">
      <c r="A452" s="425" t="s">
        <v>499</v>
      </c>
      <c r="B452" s="84" t="s">
        <v>82</v>
      </c>
      <c r="C452" s="220"/>
      <c r="D452" s="476">
        <f>1*0.26</f>
        <v>0.26</v>
      </c>
      <c r="E452" s="508">
        <v>19000</v>
      </c>
      <c r="F452" s="456">
        <f t="shared" si="16"/>
        <v>4940</v>
      </c>
      <c r="G452" s="168"/>
      <c r="H452" s="7"/>
      <c r="I452" s="7"/>
      <c r="J452" s="141"/>
      <c r="K452" s="115"/>
      <c r="L452" s="142"/>
    </row>
    <row r="453" spans="1:12" ht="14.25" customHeight="1" x14ac:dyDescent="0.25">
      <c r="A453" s="425" t="s">
        <v>500</v>
      </c>
      <c r="B453" s="84" t="s">
        <v>82</v>
      </c>
      <c r="C453" s="220"/>
      <c r="D453" s="507">
        <f>6*0.262</f>
        <v>1.5720000000000001</v>
      </c>
      <c r="E453" s="507">
        <v>7000</v>
      </c>
      <c r="F453" s="456">
        <f t="shared" si="16"/>
        <v>11004</v>
      </c>
      <c r="G453" s="168"/>
      <c r="H453" s="7"/>
      <c r="I453" s="7"/>
      <c r="J453" s="141"/>
      <c r="K453" s="115"/>
      <c r="L453" s="142"/>
    </row>
    <row r="454" spans="1:12" ht="16.5" x14ac:dyDescent="0.25">
      <c r="A454" s="425" t="s">
        <v>501</v>
      </c>
      <c r="B454" s="84" t="s">
        <v>82</v>
      </c>
      <c r="C454" s="220"/>
      <c r="D454" s="507">
        <f>40*0.262</f>
        <v>10.48</v>
      </c>
      <c r="E454" s="507">
        <v>870</v>
      </c>
      <c r="F454" s="456">
        <f>D454*E454+38</f>
        <v>9155.6</v>
      </c>
      <c r="G454" s="168"/>
      <c r="H454" s="7"/>
      <c r="I454" s="7"/>
      <c r="J454" s="141"/>
      <c r="K454" s="115"/>
      <c r="L454" s="142"/>
    </row>
    <row r="455" spans="1:12" ht="16.5" x14ac:dyDescent="0.25">
      <c r="A455" s="425" t="s">
        <v>502</v>
      </c>
      <c r="B455" s="84" t="s">
        <v>82</v>
      </c>
      <c r="C455" s="220"/>
      <c r="D455" s="507">
        <f>32*0.262</f>
        <v>8.3840000000000003</v>
      </c>
      <c r="E455" s="507">
        <v>150</v>
      </c>
      <c r="F455" s="456">
        <f t="shared" si="16"/>
        <v>1257.6000000000001</v>
      </c>
      <c r="G455" s="168"/>
      <c r="H455" s="7"/>
      <c r="I455" s="7"/>
      <c r="J455" s="141"/>
      <c r="K455" s="115"/>
      <c r="L455" s="142"/>
    </row>
    <row r="456" spans="1:12" ht="16.5" x14ac:dyDescent="0.25">
      <c r="A456" s="425" t="s">
        <v>503</v>
      </c>
      <c r="B456" s="84" t="s">
        <v>82</v>
      </c>
      <c r="C456" s="220"/>
      <c r="D456" s="507">
        <f>6*0.262</f>
        <v>1.5720000000000001</v>
      </c>
      <c r="E456" s="507">
        <v>2000</v>
      </c>
      <c r="F456" s="456">
        <f t="shared" si="16"/>
        <v>3144</v>
      </c>
      <c r="G456" s="168"/>
      <c r="H456" s="7"/>
      <c r="I456" s="7"/>
      <c r="J456" s="141"/>
      <c r="K456" s="115"/>
      <c r="L456" s="142"/>
    </row>
    <row r="457" spans="1:12" ht="16.5" x14ac:dyDescent="0.25">
      <c r="A457" s="425" t="s">
        <v>504</v>
      </c>
      <c r="B457" s="84" t="s">
        <v>82</v>
      </c>
      <c r="C457" s="220"/>
      <c r="D457" s="507">
        <f>9*0.262</f>
        <v>2.3580000000000001</v>
      </c>
      <c r="E457" s="507">
        <v>100</v>
      </c>
      <c r="F457" s="456">
        <f t="shared" si="16"/>
        <v>235.8</v>
      </c>
      <c r="G457" s="168"/>
      <c r="H457" s="7"/>
      <c r="I457" s="7"/>
      <c r="J457" s="141"/>
      <c r="K457" s="115"/>
      <c r="L457" s="142"/>
    </row>
    <row r="458" spans="1:12" ht="15.75" hidden="1" x14ac:dyDescent="0.25">
      <c r="A458" s="126"/>
      <c r="B458" s="84"/>
      <c r="C458" s="220"/>
      <c r="D458" s="169"/>
      <c r="E458" s="325"/>
      <c r="F458" s="305"/>
      <c r="G458" s="168"/>
      <c r="H458" s="7"/>
      <c r="I458" s="7"/>
      <c r="J458" s="141"/>
      <c r="K458" s="115"/>
      <c r="L458" s="142"/>
    </row>
    <row r="459" spans="1:12" ht="15.75" hidden="1" x14ac:dyDescent="0.25">
      <c r="A459" s="126"/>
      <c r="B459" s="84"/>
      <c r="C459" s="220"/>
      <c r="D459" s="169"/>
      <c r="E459" s="325"/>
      <c r="F459" s="305"/>
      <c r="G459" s="168"/>
      <c r="H459" s="7"/>
      <c r="I459" s="7"/>
      <c r="J459" s="141"/>
      <c r="K459" s="115"/>
      <c r="L459" s="142"/>
    </row>
    <row r="460" spans="1:12" ht="15.75" hidden="1" x14ac:dyDescent="0.25">
      <c r="A460" s="126"/>
      <c r="B460" s="84"/>
      <c r="C460" s="220"/>
      <c r="D460" s="169"/>
      <c r="E460" s="325"/>
      <c r="F460" s="305"/>
      <c r="G460" s="168"/>
      <c r="H460" s="7"/>
      <c r="I460" s="7"/>
      <c r="J460" s="141"/>
      <c r="K460" s="115"/>
      <c r="L460" s="142"/>
    </row>
    <row r="461" spans="1:12" ht="15.75" hidden="1" x14ac:dyDescent="0.25">
      <c r="A461" s="126"/>
      <c r="B461" s="84"/>
      <c r="C461" s="220"/>
      <c r="D461" s="169"/>
      <c r="E461" s="325"/>
      <c r="F461" s="305"/>
      <c r="G461" s="168"/>
      <c r="H461" s="7"/>
      <c r="I461" s="7"/>
      <c r="J461" s="141"/>
      <c r="K461" s="115"/>
      <c r="L461" s="142"/>
    </row>
    <row r="462" spans="1:12" ht="15.75" hidden="1" x14ac:dyDescent="0.25">
      <c r="A462" s="126"/>
      <c r="B462" s="84"/>
      <c r="C462" s="220"/>
      <c r="D462" s="169"/>
      <c r="E462" s="325"/>
      <c r="F462" s="305"/>
      <c r="G462" s="168"/>
      <c r="H462" s="7"/>
      <c r="I462" s="7"/>
      <c r="J462" s="141"/>
      <c r="K462" s="115"/>
      <c r="L462" s="142"/>
    </row>
    <row r="463" spans="1:12" ht="15.75" hidden="1" x14ac:dyDescent="0.25">
      <c r="A463" s="126"/>
      <c r="B463" s="84"/>
      <c r="C463" s="220"/>
      <c r="D463" s="169"/>
      <c r="E463" s="325"/>
      <c r="F463" s="305"/>
      <c r="G463" s="168"/>
      <c r="H463" s="7"/>
      <c r="I463" s="7"/>
      <c r="J463" s="141"/>
      <c r="K463" s="115"/>
      <c r="L463" s="142"/>
    </row>
    <row r="464" spans="1:12" ht="15.75" hidden="1" x14ac:dyDescent="0.25">
      <c r="A464" s="126"/>
      <c r="B464" s="84"/>
      <c r="C464" s="220"/>
      <c r="D464" s="169"/>
      <c r="E464" s="325"/>
      <c r="F464" s="305"/>
      <c r="G464" s="168"/>
      <c r="H464" s="7"/>
      <c r="I464" s="7"/>
      <c r="J464" s="141"/>
      <c r="K464" s="115"/>
      <c r="L464" s="142"/>
    </row>
    <row r="465" spans="1:12" ht="15.75" hidden="1" x14ac:dyDescent="0.25">
      <c r="A465" s="126"/>
      <c r="B465" s="84"/>
      <c r="C465" s="220"/>
      <c r="D465" s="169"/>
      <c r="E465" s="325"/>
      <c r="F465" s="305"/>
      <c r="G465" s="168"/>
      <c r="H465" s="7"/>
      <c r="I465" s="7"/>
      <c r="J465" s="141"/>
      <c r="K465" s="115"/>
      <c r="L465" s="142"/>
    </row>
    <row r="466" spans="1:12" ht="15.75" hidden="1" x14ac:dyDescent="0.25">
      <c r="A466" s="126"/>
      <c r="B466" s="84"/>
      <c r="C466" s="220"/>
      <c r="D466" s="169"/>
      <c r="E466" s="325"/>
      <c r="F466" s="305"/>
      <c r="G466" s="168"/>
      <c r="H466" s="7"/>
      <c r="I466" s="7"/>
      <c r="J466" s="141"/>
      <c r="K466" s="115"/>
      <c r="L466" s="142"/>
    </row>
    <row r="467" spans="1:12" ht="15.75" hidden="1" x14ac:dyDescent="0.25">
      <c r="A467" s="126"/>
      <c r="B467" s="84"/>
      <c r="C467" s="220"/>
      <c r="D467" s="169"/>
      <c r="E467" s="325"/>
      <c r="F467" s="305"/>
      <c r="G467" s="168"/>
      <c r="H467" s="7"/>
      <c r="I467" s="7"/>
      <c r="J467" s="141"/>
      <c r="K467" s="115"/>
      <c r="L467" s="142"/>
    </row>
    <row r="468" spans="1:12" ht="15.75" hidden="1" x14ac:dyDescent="0.25">
      <c r="A468" s="126"/>
      <c r="B468" s="84"/>
      <c r="C468" s="220"/>
      <c r="D468" s="169"/>
      <c r="E468" s="325"/>
      <c r="F468" s="305"/>
      <c r="G468" s="168"/>
      <c r="H468" s="7"/>
      <c r="I468" s="7"/>
      <c r="J468" s="141"/>
      <c r="K468" s="115"/>
      <c r="L468" s="142"/>
    </row>
    <row r="469" spans="1:12" ht="15.75" hidden="1" x14ac:dyDescent="0.25">
      <c r="A469" s="126"/>
      <c r="B469" s="84"/>
      <c r="C469" s="220"/>
      <c r="D469" s="169"/>
      <c r="E469" s="325"/>
      <c r="F469" s="305"/>
      <c r="G469" s="168"/>
      <c r="H469" s="7"/>
      <c r="I469" s="7"/>
      <c r="J469" s="141"/>
      <c r="K469" s="115"/>
      <c r="L469" s="142"/>
    </row>
    <row r="470" spans="1:12" ht="15.75" hidden="1" x14ac:dyDescent="0.25">
      <c r="A470" s="126"/>
      <c r="B470" s="84"/>
      <c r="C470" s="220"/>
      <c r="D470" s="169"/>
      <c r="E470" s="325"/>
      <c r="F470" s="305"/>
      <c r="G470" s="168"/>
      <c r="H470" s="7"/>
      <c r="I470" s="7"/>
      <c r="J470" s="141"/>
      <c r="K470" s="115"/>
      <c r="L470" s="142"/>
    </row>
    <row r="471" spans="1:12" ht="15.75" hidden="1" x14ac:dyDescent="0.25">
      <c r="A471" s="126"/>
      <c r="B471" s="84"/>
      <c r="C471" s="220"/>
      <c r="D471" s="169"/>
      <c r="E471" s="325"/>
      <c r="F471" s="305"/>
      <c r="G471" s="168"/>
      <c r="H471" s="7"/>
      <c r="I471" s="7"/>
      <c r="J471" s="141"/>
      <c r="K471" s="115"/>
      <c r="L471" s="142"/>
    </row>
    <row r="472" spans="1:12" ht="15.75" hidden="1" x14ac:dyDescent="0.25">
      <c r="A472" s="126"/>
      <c r="B472" s="84"/>
      <c r="C472" s="220"/>
      <c r="D472" s="169"/>
      <c r="E472" s="325"/>
      <c r="F472" s="305"/>
      <c r="G472" s="168"/>
      <c r="H472" s="7"/>
      <c r="I472" s="7"/>
      <c r="J472" s="141"/>
      <c r="K472" s="115"/>
      <c r="L472" s="142"/>
    </row>
    <row r="473" spans="1:12" ht="15.75" hidden="1" x14ac:dyDescent="0.25">
      <c r="A473" s="126"/>
      <c r="B473" s="84"/>
      <c r="C473" s="220"/>
      <c r="D473" s="169"/>
      <c r="E473" s="325"/>
      <c r="F473" s="305"/>
      <c r="G473" s="168"/>
      <c r="H473" s="7"/>
      <c r="I473" s="7"/>
      <c r="J473" s="141"/>
      <c r="K473" s="115"/>
      <c r="L473" s="142"/>
    </row>
    <row r="474" spans="1:12" ht="15.75" hidden="1" x14ac:dyDescent="0.25">
      <c r="A474" s="126"/>
      <c r="B474" s="84"/>
      <c r="C474" s="220"/>
      <c r="D474" s="169"/>
      <c r="E474" s="325"/>
      <c r="F474" s="305"/>
      <c r="G474" s="168"/>
      <c r="H474" s="7"/>
      <c r="I474" s="7"/>
      <c r="J474" s="141"/>
      <c r="K474" s="115"/>
      <c r="L474" s="142"/>
    </row>
    <row r="475" spans="1:12" ht="15.75" hidden="1" x14ac:dyDescent="0.25">
      <c r="A475" s="126"/>
      <c r="B475" s="84"/>
      <c r="C475" s="220"/>
      <c r="D475" s="169"/>
      <c r="E475" s="325"/>
      <c r="F475" s="305"/>
      <c r="G475" s="168"/>
      <c r="H475" s="7"/>
      <c r="I475" s="7"/>
      <c r="J475" s="141"/>
      <c r="K475" s="115"/>
      <c r="L475" s="142"/>
    </row>
    <row r="476" spans="1:12" ht="15.75" hidden="1" x14ac:dyDescent="0.25">
      <c r="A476" s="126"/>
      <c r="B476" s="84"/>
      <c r="C476" s="220"/>
      <c r="D476" s="169"/>
      <c r="E476" s="325"/>
      <c r="F476" s="305"/>
      <c r="G476" s="168"/>
      <c r="H476" s="7"/>
      <c r="I476" s="7"/>
      <c r="J476" s="141"/>
      <c r="K476" s="115"/>
      <c r="L476" s="142"/>
    </row>
    <row r="477" spans="1:12" ht="15.75" hidden="1" x14ac:dyDescent="0.25">
      <c r="A477" s="126"/>
      <c r="B477" s="84"/>
      <c r="C477" s="220"/>
      <c r="D477" s="169"/>
      <c r="E477" s="325"/>
      <c r="F477" s="305"/>
      <c r="G477" s="168"/>
      <c r="H477" s="7"/>
      <c r="I477" s="7"/>
      <c r="J477" s="141"/>
      <c r="K477" s="115"/>
      <c r="L477" s="142"/>
    </row>
    <row r="478" spans="1:12" ht="18.75" x14ac:dyDescent="0.25">
      <c r="A478" s="671" t="s">
        <v>31</v>
      </c>
      <c r="B478" s="705"/>
      <c r="C478" s="705"/>
      <c r="D478" s="705"/>
      <c r="E478" s="672"/>
      <c r="F478" s="275">
        <f>SUM(F231:F477)</f>
        <v>175985.39999999997</v>
      </c>
      <c r="G478" s="168"/>
      <c r="H478" s="7"/>
      <c r="I478" s="7"/>
    </row>
    <row r="479" spans="1:12" ht="15.75" x14ac:dyDescent="0.25">
      <c r="A479" s="7"/>
      <c r="B479" s="7"/>
      <c r="C479" s="7"/>
      <c r="D479" s="7"/>
      <c r="E479" s="168"/>
      <c r="F479" s="7"/>
      <c r="G479" s="168"/>
      <c r="H479" s="7"/>
      <c r="I479" s="7"/>
    </row>
    <row r="480" spans="1:12" ht="15.75" x14ac:dyDescent="0.25">
      <c r="A480" s="7"/>
      <c r="B480" s="7"/>
      <c r="C480" s="7"/>
      <c r="D480" s="7"/>
      <c r="E480" s="7"/>
      <c r="F480" s="7"/>
    </row>
  </sheetData>
  <autoFilter ref="A229:I393" xr:uid="{00000000-0009-0000-0000-000007000000}"/>
  <mergeCells count="145">
    <mergeCell ref="A1:I1"/>
    <mergeCell ref="E127:E128"/>
    <mergeCell ref="F127:F128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  <mergeCell ref="A478:E478"/>
    <mergeCell ref="A186:F186"/>
    <mergeCell ref="A225:E225"/>
    <mergeCell ref="A226:F226"/>
    <mergeCell ref="A227:F227"/>
    <mergeCell ref="A228:A229"/>
    <mergeCell ref="B228:B229"/>
    <mergeCell ref="D228:D229"/>
    <mergeCell ref="E228:E229"/>
    <mergeCell ref="F228:F229"/>
    <mergeCell ref="A194:F194"/>
    <mergeCell ref="A195:F195"/>
    <mergeCell ref="A197:A198"/>
    <mergeCell ref="B197:B198"/>
    <mergeCell ref="D197:D198"/>
    <mergeCell ref="D127:D128"/>
    <mergeCell ref="F178:F179"/>
    <mergeCell ref="A160:E160"/>
    <mergeCell ref="E197:E198"/>
    <mergeCell ref="F197:F198"/>
    <mergeCell ref="A189:A190"/>
    <mergeCell ref="B189:B190"/>
    <mergeCell ref="D189:D190"/>
    <mergeCell ref="E189:E190"/>
    <mergeCell ref="F189:F190"/>
    <mergeCell ref="A173:B173"/>
    <mergeCell ref="A174:B174"/>
    <mergeCell ref="A175:B175"/>
    <mergeCell ref="A187:F187"/>
    <mergeCell ref="A169:B170"/>
    <mergeCell ref="D169:D170"/>
    <mergeCell ref="A171:B171"/>
    <mergeCell ref="A176:F176"/>
    <mergeCell ref="A178:A179"/>
    <mergeCell ref="B178:B179"/>
    <mergeCell ref="D178:D179"/>
    <mergeCell ref="E178:E179"/>
    <mergeCell ref="A166:F166"/>
    <mergeCell ref="E169:E170"/>
    <mergeCell ref="D150:D151"/>
    <mergeCell ref="E150:E151"/>
    <mergeCell ref="F150:F151"/>
    <mergeCell ref="A148:F148"/>
    <mergeCell ref="G189:G190"/>
    <mergeCell ref="G178:G179"/>
    <mergeCell ref="G169:G170"/>
    <mergeCell ref="A172:B172"/>
    <mergeCell ref="A150:A151"/>
    <mergeCell ref="B150:B151"/>
    <mergeCell ref="F169:F170"/>
    <mergeCell ref="B31:C31"/>
    <mergeCell ref="B33:C33"/>
    <mergeCell ref="A57:B57"/>
    <mergeCell ref="A124:B124"/>
    <mergeCell ref="G127:G128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34:C34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I136:I138"/>
    <mergeCell ref="A139:A140"/>
    <mergeCell ref="B139:B140"/>
    <mergeCell ref="D139:D140"/>
    <mergeCell ref="E139:E140"/>
    <mergeCell ref="F139:F140"/>
    <mergeCell ref="G139:G140"/>
    <mergeCell ref="I139:I140"/>
    <mergeCell ref="A145:F145"/>
    <mergeCell ref="A42:F42"/>
    <mergeCell ref="A45:B46"/>
    <mergeCell ref="D45:D46"/>
    <mergeCell ref="A134:H134"/>
    <mergeCell ref="B136:B138"/>
    <mergeCell ref="D136:D138"/>
    <mergeCell ref="E136:F136"/>
    <mergeCell ref="G136:G138"/>
    <mergeCell ref="B40:C40"/>
    <mergeCell ref="B41:C41"/>
    <mergeCell ref="G45:G46"/>
    <mergeCell ref="A130:B130"/>
    <mergeCell ref="A132:B132"/>
    <mergeCell ref="A131:B131"/>
    <mergeCell ref="A48:B48"/>
    <mergeCell ref="A129:B129"/>
    <mergeCell ref="A49:B49"/>
    <mergeCell ref="A50:B50"/>
    <mergeCell ref="A52:B52"/>
    <mergeCell ref="A53:F53"/>
    <mergeCell ref="A55:B56"/>
    <mergeCell ref="A133:F133"/>
    <mergeCell ref="A125:F125"/>
    <mergeCell ref="A127:B128"/>
  </mergeCells>
  <printOptions horizontalCentered="1" verticalCentered="1"/>
  <pageMargins left="0.70866141732283472" right="0.31496062992125984" top="0.55118110236220474" bottom="0.55118110236220474" header="0" footer="0"/>
  <pageSetup paperSize="9" scale="42" fitToHeight="4" orientation="portrait" r:id="rId1"/>
  <rowBreaks count="3" manualBreakCount="3">
    <brk id="124" max="9" man="1"/>
    <brk id="186" max="8" man="1"/>
    <brk id="294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34" t="s">
        <v>69</v>
      </c>
      <c r="B1" s="734"/>
      <c r="C1" s="734"/>
      <c r="D1" s="734"/>
      <c r="E1" s="734"/>
      <c r="F1" s="734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58</v>
      </c>
      <c r="B3" s="15" t="s">
        <v>2</v>
      </c>
      <c r="C3" s="15" t="s">
        <v>59</v>
      </c>
      <c r="D3" s="15" t="s">
        <v>60</v>
      </c>
      <c r="E3" s="14" t="s">
        <v>61</v>
      </c>
      <c r="F3" s="15" t="s">
        <v>62</v>
      </c>
      <c r="G3" s="14" t="s">
        <v>63</v>
      </c>
      <c r="H3" s="14" t="s">
        <v>64</v>
      </c>
      <c r="I3" s="26" t="s">
        <v>65</v>
      </c>
    </row>
    <row r="4" spans="1:9" ht="15.75" x14ac:dyDescent="0.25">
      <c r="A4" s="16" t="s">
        <v>70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6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8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инновации+добровольчество0,369</vt:lpstr>
      <vt:lpstr>Лист1</vt:lpstr>
      <vt:lpstr>натур показатели патриотика</vt:lpstr>
      <vt:lpstr>патриотика0,369</vt:lpstr>
      <vt:lpstr>натур показатели таланты+инициа</vt:lpstr>
      <vt:lpstr>таланты+инициативы0,262</vt:lpstr>
      <vt:lpstr>Лист3</vt:lpstr>
      <vt:lpstr>затраты!Область_печати</vt:lpstr>
      <vt:lpstr>'инновации+добровольчество0,369'!Область_печати</vt:lpstr>
      <vt:lpstr>'патриотика0,369'!Область_печати</vt:lpstr>
      <vt:lpstr>'таланты+инициативы0,262'!Область_печати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2021-12-10T10:15:41Z</dcterms:modified>
</cp:coreProperties>
</file>